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i\Desktop\千葉県\白子町\簡便法様式\"/>
    </mc:Choice>
  </mc:AlternateContent>
  <xr:revisionPtr revIDLastSave="0" documentId="13_ncr:1_{B4A1ADBC-AE24-4827-8FD3-86E700B05165}" xr6:coauthVersionLast="47" xr6:coauthVersionMax="47" xr10:uidLastSave="{00000000-0000-0000-0000-000000000000}"/>
  <bookViews>
    <workbookView xWindow="1515" yWindow="1515" windowWidth="21600" windowHeight="11295" tabRatio="946" firstSheet="8" activeTab="9" xr2:uid="{910FB4C5-349E-466C-9703-438DC90EBFE4}"/>
  </bookViews>
  <sheets>
    <sheet name="開始BS" sheetId="21" state="hidden" r:id="rId1"/>
    <sheet name="チェックシート" sheetId="20" state="hidden" r:id="rId2"/>
    <sheet name="歳入" sheetId="4" state="hidden" r:id="rId3"/>
    <sheet name="歳出" sheetId="6" state="hidden" r:id="rId4"/>
    <sheet name="資産形成分" sheetId="22" state="hidden" r:id="rId5"/>
    <sheet name="NW内訳" sheetId="7" state="hidden" r:id="rId6"/>
    <sheet name="決算整理" sheetId="9" state="hidden" r:id="rId7"/>
    <sheet name="相殺仕訳" sheetId="16" state="hidden" r:id="rId8"/>
    <sheet name="精算表" sheetId="15" r:id="rId9"/>
    <sheet name="貸借対照表(BS)" sheetId="11" r:id="rId10"/>
    <sheet name="行政コスト計算書(PL)" sheetId="12" r:id="rId11"/>
    <sheet name="純資産変動計算書(NW)" sheetId="13" r:id="rId12"/>
    <sheet name="資金収支計算書(CF)" sheetId="14" r:id="rId13"/>
    <sheet name="科目マスタ" sheetId="2" r:id="rId14"/>
  </sheets>
  <definedNames>
    <definedName name="_xlnm._FilterDatabase" localSheetId="4" hidden="1">資産形成分!$B$4:$I$4</definedName>
    <definedName name="_xlnm._FilterDatabase" localSheetId="9" hidden="1">'貸借対照表(BS)'!$B$1:$B$66</definedName>
    <definedName name="_xlnm.Print_Area" localSheetId="8">精算表!$B$1:$S$202</definedName>
    <definedName name="勘定科目">科目マスタ!$A$2:$A$118</definedName>
    <definedName name="歳入_予算科目">科目マスタ!$B$2:$B$52</definedName>
    <definedName name="集計表_勘定科目">資産形成分!$K$5:$K$23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7" l="1"/>
  <c r="D22" i="7"/>
  <c r="E33" i="9" l="1"/>
  <c r="E34" i="9"/>
  <c r="E36" i="9"/>
  <c r="E37" i="9"/>
  <c r="I26" i="4" l="1"/>
  <c r="J22" i="4"/>
  <c r="I22" i="4"/>
  <c r="J10" i="4"/>
  <c r="I10" i="4"/>
  <c r="J9" i="4"/>
  <c r="I9" i="4"/>
  <c r="E30" i="6" l="1"/>
  <c r="E32" i="6"/>
  <c r="E26" i="6"/>
  <c r="E23" i="6"/>
  <c r="E43" i="6" l="1"/>
  <c r="E22" i="6"/>
  <c r="E19" i="6"/>
  <c r="K22" i="4"/>
  <c r="K10" i="4"/>
  <c r="K9" i="4"/>
  <c r="B47" i="21" l="1"/>
  <c r="G89" i="9" l="1"/>
  <c r="F66" i="22" l="1"/>
  <c r="H66" i="22"/>
  <c r="H67" i="22" l="1"/>
  <c r="I42" i="4"/>
  <c r="I43" i="4"/>
  <c r="I44" i="4"/>
  <c r="J42" i="4"/>
  <c r="J43" i="4"/>
  <c r="J44" i="4"/>
  <c r="K42" i="4"/>
  <c r="K43" i="4"/>
  <c r="K44" i="4"/>
  <c r="K8" i="4"/>
  <c r="K7" i="4"/>
  <c r="J8" i="4"/>
  <c r="J7" i="4"/>
  <c r="I8" i="4"/>
  <c r="I7" i="4"/>
  <c r="O8" i="15" l="1"/>
  <c r="O7" i="15" s="1"/>
  <c r="N9" i="15"/>
  <c r="N8" i="15" s="1"/>
  <c r="N7" i="15" s="1"/>
  <c r="N63" i="15" s="1"/>
  <c r="N87" i="15" s="1"/>
  <c r="O9" i="15"/>
  <c r="N25" i="15"/>
  <c r="O25" i="15"/>
  <c r="N36" i="15"/>
  <c r="O36" i="15"/>
  <c r="O40" i="15"/>
  <c r="N41" i="15"/>
  <c r="N40" i="15" s="1"/>
  <c r="O41" i="15"/>
  <c r="N48" i="15"/>
  <c r="O48" i="15"/>
  <c r="N57" i="15"/>
  <c r="N53" i="15" s="1"/>
  <c r="O57" i="15"/>
  <c r="O53" i="15" s="1"/>
  <c r="N66" i="15"/>
  <c r="O66" i="15"/>
  <c r="N72" i="15"/>
  <c r="O72" i="15"/>
  <c r="N81" i="15"/>
  <c r="O81" i="15"/>
  <c r="O87" i="15" s="1"/>
  <c r="N86" i="15"/>
  <c r="O86" i="15"/>
  <c r="O93" i="15"/>
  <c r="O92" i="15" s="1"/>
  <c r="O116" i="15" s="1"/>
  <c r="O126" i="15" s="1"/>
  <c r="N94" i="15"/>
  <c r="N93" i="15" s="1"/>
  <c r="N92" i="15" s="1"/>
  <c r="N116" i="15" s="1"/>
  <c r="N126" i="15" s="1"/>
  <c r="O94" i="15"/>
  <c r="N99" i="15"/>
  <c r="O99" i="15"/>
  <c r="N104" i="15"/>
  <c r="O104" i="15"/>
  <c r="N108" i="15"/>
  <c r="O108" i="15"/>
  <c r="N113" i="15"/>
  <c r="O113" i="15"/>
  <c r="N117" i="15"/>
  <c r="O117" i="15"/>
  <c r="N123" i="15"/>
  <c r="O123" i="15"/>
  <c r="N133" i="15"/>
  <c r="N136" i="15" s="1"/>
  <c r="N145" i="15" s="1"/>
  <c r="N146" i="15" s="1"/>
  <c r="O133" i="15"/>
  <c r="O136" i="15" s="1"/>
  <c r="O145" i="15" s="1"/>
  <c r="N153" i="15"/>
  <c r="N152" i="15" s="1"/>
  <c r="N172" i="15" s="1"/>
  <c r="N195" i="15" s="1"/>
  <c r="O153" i="15"/>
  <c r="N158" i="15"/>
  <c r="O158" i="15"/>
  <c r="O152" i="15" s="1"/>
  <c r="O172" i="15" s="1"/>
  <c r="N163" i="15"/>
  <c r="O163" i="15"/>
  <c r="N168" i="15"/>
  <c r="O168" i="15"/>
  <c r="N174" i="15"/>
  <c r="O174" i="15"/>
  <c r="N180" i="15"/>
  <c r="N186" i="15" s="1"/>
  <c r="O180" i="15"/>
  <c r="O186" i="15" s="1"/>
  <c r="N188" i="15"/>
  <c r="O188" i="15"/>
  <c r="N191" i="15"/>
  <c r="O191" i="15"/>
  <c r="N194" i="15"/>
  <c r="O194" i="15"/>
  <c r="K46" i="4"/>
  <c r="O195" i="15" l="1"/>
  <c r="O63" i="15"/>
  <c r="Q144" i="15" l="1"/>
  <c r="P144" i="15"/>
  <c r="K144" i="15"/>
  <c r="J144" i="15"/>
  <c r="E38" i="7"/>
  <c r="D38" i="7"/>
  <c r="I144" i="15"/>
  <c r="H144" i="15"/>
  <c r="E24" i="7"/>
  <c r="E18" i="7"/>
  <c r="A1" i="21" l="1"/>
  <c r="D24" i="6" l="1"/>
  <c r="L6" i="22" l="1"/>
  <c r="E11" i="9" s="1"/>
  <c r="L7" i="22"/>
  <c r="E12" i="9" s="1"/>
  <c r="L8" i="22"/>
  <c r="E13" i="9" s="1"/>
  <c r="L9" i="22"/>
  <c r="E14" i="9" s="1"/>
  <c r="L10" i="22"/>
  <c r="E15" i="9" s="1"/>
  <c r="L11" i="22"/>
  <c r="E16" i="9" s="1"/>
  <c r="L12" i="22"/>
  <c r="E17" i="9" s="1"/>
  <c r="L13" i="22"/>
  <c r="E18" i="9" s="1"/>
  <c r="L14" i="22"/>
  <c r="E19" i="9" s="1"/>
  <c r="L15" i="22"/>
  <c r="E20" i="9" s="1"/>
  <c r="L16" i="22"/>
  <c r="E21" i="9" s="1"/>
  <c r="L17" i="22"/>
  <c r="E22" i="9" s="1"/>
  <c r="L18" i="22"/>
  <c r="E23" i="9" s="1"/>
  <c r="L19" i="22"/>
  <c r="E24" i="9" s="1"/>
  <c r="L20" i="22"/>
  <c r="E25" i="9" s="1"/>
  <c r="L21" i="22"/>
  <c r="E26" i="9" s="1"/>
  <c r="E27" i="9" s="1"/>
  <c r="L22" i="22"/>
  <c r="E28" i="9" s="1"/>
  <c r="E29" i="9" s="1"/>
  <c r="L23" i="22"/>
  <c r="E30" i="9" s="1"/>
  <c r="L5" i="22"/>
  <c r="E10" i="9" s="1"/>
  <c r="A2" i="22"/>
  <c r="A1" i="22"/>
  <c r="B4" i="14"/>
  <c r="B3" i="14"/>
  <c r="A1" i="14"/>
  <c r="B4" i="13"/>
  <c r="B3" i="13"/>
  <c r="A1" i="13"/>
  <c r="B4" i="12"/>
  <c r="B3" i="12"/>
  <c r="A1" i="12"/>
  <c r="B3" i="11"/>
  <c r="A1" i="11"/>
  <c r="D198" i="15"/>
  <c r="D196" i="15"/>
  <c r="E80" i="15"/>
  <c r="E79" i="15"/>
  <c r="E78" i="15"/>
  <c r="E77" i="15"/>
  <c r="E76" i="15"/>
  <c r="E75" i="15"/>
  <c r="E74" i="15"/>
  <c r="E73" i="15"/>
  <c r="E71" i="15"/>
  <c r="E70" i="15"/>
  <c r="E69" i="15"/>
  <c r="E68" i="15"/>
  <c r="E67" i="15"/>
  <c r="D62" i="15"/>
  <c r="D61" i="15"/>
  <c r="D60" i="15"/>
  <c r="D59" i="15"/>
  <c r="D58" i="15"/>
  <c r="D56" i="15"/>
  <c r="D55" i="15"/>
  <c r="D54" i="15"/>
  <c r="D52" i="15"/>
  <c r="D51" i="15"/>
  <c r="D50" i="15"/>
  <c r="D49" i="15"/>
  <c r="D47" i="15"/>
  <c r="D46" i="15"/>
  <c r="D45" i="15"/>
  <c r="D44" i="15"/>
  <c r="D43" i="15"/>
  <c r="D42" i="15"/>
  <c r="D38" i="15"/>
  <c r="D37" i="15"/>
  <c r="D35" i="15"/>
  <c r="D34" i="15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B2" i="15"/>
  <c r="B1" i="15"/>
  <c r="A2" i="16"/>
  <c r="A1" i="16"/>
  <c r="A2" i="7"/>
  <c r="A1" i="7"/>
  <c r="A2" i="9"/>
  <c r="A1" i="9"/>
  <c r="A2" i="6"/>
  <c r="A1" i="6"/>
  <c r="A2" i="4"/>
  <c r="A1" i="4"/>
  <c r="L24" i="22" l="1"/>
  <c r="L25" i="22" s="1"/>
  <c r="A3" i="21"/>
  <c r="B56" i="21"/>
  <c r="B52" i="21" s="1"/>
  <c r="B40" i="21"/>
  <c r="B36" i="21"/>
  <c r="B25" i="21"/>
  <c r="D13" i="21"/>
  <c r="B9" i="21"/>
  <c r="D7" i="21"/>
  <c r="C4" i="20"/>
  <c r="D18" i="6"/>
  <c r="J18" i="6" s="1"/>
  <c r="B39" i="21" l="1"/>
  <c r="B8" i="21"/>
  <c r="D22" i="21"/>
  <c r="C32" i="7"/>
  <c r="C36" i="7"/>
  <c r="E22" i="7"/>
  <c r="E40" i="7"/>
  <c r="E20" i="13" s="1"/>
  <c r="B7" i="21" l="1"/>
  <c r="B62" i="21" l="1"/>
  <c r="D8" i="20" s="1"/>
  <c r="D24" i="21"/>
  <c r="D7" i="13" s="1"/>
  <c r="K9" i="16"/>
  <c r="J9" i="16"/>
  <c r="K8" i="16"/>
  <c r="J8" i="16"/>
  <c r="K7" i="16"/>
  <c r="J7" i="16"/>
  <c r="K6" i="16"/>
  <c r="J6" i="16"/>
  <c r="K199" i="15"/>
  <c r="J199" i="15"/>
  <c r="K193" i="15"/>
  <c r="J193" i="15"/>
  <c r="K192" i="15"/>
  <c r="J192" i="15"/>
  <c r="K190" i="15"/>
  <c r="J190" i="15"/>
  <c r="K189" i="15"/>
  <c r="J189" i="15"/>
  <c r="K185" i="15"/>
  <c r="J185" i="15"/>
  <c r="K184" i="15"/>
  <c r="J184" i="15"/>
  <c r="K183" i="15"/>
  <c r="J183" i="15"/>
  <c r="K182" i="15"/>
  <c r="J182" i="15"/>
  <c r="K181" i="15"/>
  <c r="J181" i="15"/>
  <c r="K179" i="15"/>
  <c r="J179" i="15"/>
  <c r="K178" i="15"/>
  <c r="J178" i="15"/>
  <c r="K177" i="15"/>
  <c r="J177" i="15"/>
  <c r="K176" i="15"/>
  <c r="J176" i="15"/>
  <c r="K175" i="15"/>
  <c r="K171" i="15"/>
  <c r="J171" i="15"/>
  <c r="K170" i="15"/>
  <c r="J170" i="15"/>
  <c r="K169" i="15"/>
  <c r="J169" i="15"/>
  <c r="K167" i="15"/>
  <c r="J167" i="15"/>
  <c r="K166" i="15"/>
  <c r="J166" i="15"/>
  <c r="K165" i="15"/>
  <c r="J165" i="15"/>
  <c r="K164" i="15"/>
  <c r="J164" i="15"/>
  <c r="J162" i="15"/>
  <c r="K161" i="15"/>
  <c r="J161" i="15"/>
  <c r="K160" i="15"/>
  <c r="J160" i="15"/>
  <c r="K159" i="15"/>
  <c r="J159" i="15"/>
  <c r="K157" i="15"/>
  <c r="J157" i="15"/>
  <c r="K156" i="15"/>
  <c r="J156" i="15"/>
  <c r="J155" i="15"/>
  <c r="K154" i="15"/>
  <c r="J154" i="15"/>
  <c r="K143" i="15"/>
  <c r="J143" i="15"/>
  <c r="K142" i="15"/>
  <c r="J142" i="15"/>
  <c r="K135" i="15"/>
  <c r="J135" i="15"/>
  <c r="K134" i="15"/>
  <c r="J134" i="15"/>
  <c r="K125" i="15"/>
  <c r="J125" i="15"/>
  <c r="K124" i="15"/>
  <c r="J124" i="15"/>
  <c r="K122" i="15"/>
  <c r="J122" i="15"/>
  <c r="K121" i="15"/>
  <c r="J121" i="15"/>
  <c r="K120" i="15"/>
  <c r="J120" i="15"/>
  <c r="K119" i="15"/>
  <c r="J119" i="15"/>
  <c r="K118" i="15"/>
  <c r="J118" i="15"/>
  <c r="K115" i="15"/>
  <c r="J115" i="15"/>
  <c r="K114" i="15"/>
  <c r="J114" i="15"/>
  <c r="K112" i="15"/>
  <c r="K111" i="15"/>
  <c r="J111" i="15"/>
  <c r="K110" i="15"/>
  <c r="J110" i="15"/>
  <c r="K109" i="15"/>
  <c r="J109" i="15"/>
  <c r="K107" i="15"/>
  <c r="J107" i="15"/>
  <c r="K106" i="15"/>
  <c r="J106" i="15"/>
  <c r="K105" i="15"/>
  <c r="J105" i="15"/>
  <c r="K103" i="15"/>
  <c r="J103" i="15"/>
  <c r="K102" i="15"/>
  <c r="J102" i="15"/>
  <c r="K101" i="15"/>
  <c r="K100" i="15"/>
  <c r="K98" i="15"/>
  <c r="J98" i="15"/>
  <c r="K97" i="15"/>
  <c r="J97" i="15"/>
  <c r="K96" i="15"/>
  <c r="J96" i="15"/>
  <c r="K95" i="15"/>
  <c r="J95" i="15"/>
  <c r="K80" i="15"/>
  <c r="J80" i="15"/>
  <c r="K79" i="15"/>
  <c r="J79" i="15"/>
  <c r="K78" i="15"/>
  <c r="J78" i="15"/>
  <c r="K77" i="15"/>
  <c r="J77" i="15"/>
  <c r="K76" i="15"/>
  <c r="J76" i="15"/>
  <c r="K75" i="15"/>
  <c r="J75" i="15"/>
  <c r="K74" i="15"/>
  <c r="J74" i="15"/>
  <c r="K73" i="15"/>
  <c r="J73" i="15"/>
  <c r="K71" i="15"/>
  <c r="J71" i="15"/>
  <c r="K70" i="15"/>
  <c r="J70" i="15"/>
  <c r="K69" i="15"/>
  <c r="J69" i="15"/>
  <c r="K68" i="15"/>
  <c r="J68" i="15"/>
  <c r="K67" i="15"/>
  <c r="J67" i="15"/>
  <c r="K62" i="15"/>
  <c r="J62" i="15"/>
  <c r="K61" i="15"/>
  <c r="J61" i="15"/>
  <c r="K60" i="15"/>
  <c r="J60" i="15"/>
  <c r="K59" i="15"/>
  <c r="J59" i="15"/>
  <c r="K58" i="15"/>
  <c r="J58" i="15"/>
  <c r="K56" i="15"/>
  <c r="J56" i="15"/>
  <c r="K55" i="15"/>
  <c r="J55" i="15"/>
  <c r="K52" i="15"/>
  <c r="J52" i="15"/>
  <c r="K51" i="15"/>
  <c r="J51" i="15"/>
  <c r="K50" i="15"/>
  <c r="J50" i="15"/>
  <c r="K49" i="15"/>
  <c r="J49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J39" i="15"/>
  <c r="K38" i="15"/>
  <c r="K37" i="15"/>
  <c r="K35" i="15"/>
  <c r="J35" i="15"/>
  <c r="K34" i="15"/>
  <c r="K33" i="15"/>
  <c r="K32" i="15"/>
  <c r="J32" i="15"/>
  <c r="K31" i="15"/>
  <c r="K30" i="15"/>
  <c r="J30" i="15"/>
  <c r="K29" i="15"/>
  <c r="K28" i="15"/>
  <c r="J28" i="15"/>
  <c r="K27" i="15"/>
  <c r="K26" i="15"/>
  <c r="K24" i="15"/>
  <c r="K23" i="15"/>
  <c r="J23" i="15"/>
  <c r="K22" i="15"/>
  <c r="K21" i="15"/>
  <c r="J21" i="15"/>
  <c r="K20" i="15"/>
  <c r="K19" i="15"/>
  <c r="J19" i="15"/>
  <c r="K18" i="15"/>
  <c r="K17" i="15"/>
  <c r="J17" i="15"/>
  <c r="K16" i="15"/>
  <c r="J16" i="15"/>
  <c r="K15" i="15"/>
  <c r="J15" i="15"/>
  <c r="K14" i="15"/>
  <c r="K13" i="15"/>
  <c r="J13" i="15"/>
  <c r="K12" i="15"/>
  <c r="K11" i="15"/>
  <c r="K10" i="15"/>
  <c r="I199" i="15"/>
  <c r="H199" i="15"/>
  <c r="I193" i="15"/>
  <c r="H193" i="15"/>
  <c r="I192" i="15"/>
  <c r="H192" i="15"/>
  <c r="I190" i="15"/>
  <c r="H190" i="15"/>
  <c r="H189" i="15"/>
  <c r="I185" i="15"/>
  <c r="H185" i="15"/>
  <c r="I184" i="15"/>
  <c r="H184" i="15"/>
  <c r="I183" i="15"/>
  <c r="H183" i="15"/>
  <c r="I182" i="15"/>
  <c r="H182" i="15"/>
  <c r="I181" i="15"/>
  <c r="H181" i="15"/>
  <c r="I179" i="15"/>
  <c r="H179" i="15"/>
  <c r="H178" i="15"/>
  <c r="H177" i="15"/>
  <c r="H176" i="15"/>
  <c r="H175" i="15"/>
  <c r="I171" i="15"/>
  <c r="H171" i="15"/>
  <c r="I170" i="15"/>
  <c r="H170" i="15"/>
  <c r="I169" i="15"/>
  <c r="H169" i="15"/>
  <c r="I167" i="15"/>
  <c r="H167" i="15"/>
  <c r="I166" i="15"/>
  <c r="H166" i="15"/>
  <c r="I165" i="15"/>
  <c r="H165" i="15"/>
  <c r="I164" i="15"/>
  <c r="H164" i="15"/>
  <c r="H162" i="15"/>
  <c r="H161" i="15"/>
  <c r="H160" i="15"/>
  <c r="H159" i="15"/>
  <c r="H157" i="15"/>
  <c r="H156" i="15"/>
  <c r="H155" i="15"/>
  <c r="H154" i="15"/>
  <c r="I143" i="15"/>
  <c r="H143" i="15"/>
  <c r="I142" i="15"/>
  <c r="H142" i="15"/>
  <c r="I135" i="15"/>
  <c r="H135" i="15"/>
  <c r="I134" i="15"/>
  <c r="H134" i="15"/>
  <c r="I125" i="15"/>
  <c r="H125" i="15"/>
  <c r="I124" i="15"/>
  <c r="H124" i="15"/>
  <c r="I122" i="15"/>
  <c r="H122" i="15"/>
  <c r="I121" i="15"/>
  <c r="H121" i="15"/>
  <c r="I120" i="15"/>
  <c r="H120" i="15"/>
  <c r="I119" i="15"/>
  <c r="H119" i="15"/>
  <c r="I118" i="15"/>
  <c r="H118" i="15"/>
  <c r="I115" i="15"/>
  <c r="H115" i="15"/>
  <c r="I114" i="15"/>
  <c r="H114" i="15"/>
  <c r="I112" i="15"/>
  <c r="I111" i="15"/>
  <c r="I110" i="15"/>
  <c r="I109" i="15"/>
  <c r="I107" i="15"/>
  <c r="I106" i="15"/>
  <c r="H106" i="15"/>
  <c r="I105" i="15"/>
  <c r="I103" i="15"/>
  <c r="I102" i="15"/>
  <c r="H102" i="15"/>
  <c r="I101" i="15"/>
  <c r="I100" i="15"/>
  <c r="I98" i="15"/>
  <c r="I97" i="15"/>
  <c r="H97" i="15"/>
  <c r="I96" i="15"/>
  <c r="H96" i="15"/>
  <c r="I95" i="15"/>
  <c r="I80" i="15"/>
  <c r="H80" i="15"/>
  <c r="I79" i="15"/>
  <c r="H79" i="15"/>
  <c r="I78" i="15"/>
  <c r="H78" i="15"/>
  <c r="I77" i="15"/>
  <c r="H77" i="15"/>
  <c r="I76" i="15"/>
  <c r="H76" i="15"/>
  <c r="I75" i="15"/>
  <c r="H75" i="15"/>
  <c r="I74" i="15"/>
  <c r="H74" i="15"/>
  <c r="I73" i="15"/>
  <c r="I71" i="15"/>
  <c r="H71" i="15"/>
  <c r="I70" i="15"/>
  <c r="H70" i="15"/>
  <c r="I69" i="15"/>
  <c r="H69" i="15"/>
  <c r="I68" i="15"/>
  <c r="H68" i="15"/>
  <c r="I67" i="15"/>
  <c r="H67" i="15"/>
  <c r="I62" i="15"/>
  <c r="H62" i="15"/>
  <c r="I61" i="15"/>
  <c r="H61" i="15"/>
  <c r="I60" i="15"/>
  <c r="H60" i="15"/>
  <c r="I59" i="15"/>
  <c r="I58" i="15"/>
  <c r="I56" i="15"/>
  <c r="I55" i="15"/>
  <c r="H55" i="15"/>
  <c r="I52" i="15"/>
  <c r="H52" i="15"/>
  <c r="I51" i="15"/>
  <c r="H51" i="15"/>
  <c r="I50" i="15"/>
  <c r="I49" i="15"/>
  <c r="I47" i="15"/>
  <c r="I46" i="15"/>
  <c r="H46" i="15"/>
  <c r="I45" i="15"/>
  <c r="H45" i="15"/>
  <c r="I44" i="15"/>
  <c r="I43" i="15"/>
  <c r="H43" i="15"/>
  <c r="I42" i="15"/>
  <c r="H42" i="15"/>
  <c r="I39" i="15"/>
  <c r="I38" i="15"/>
  <c r="H38" i="15"/>
  <c r="I37" i="15"/>
  <c r="H37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K5" i="16"/>
  <c r="J5" i="16"/>
  <c r="I12" i="16"/>
  <c r="K12" i="16" s="1"/>
  <c r="I11" i="16"/>
  <c r="K11" i="16" s="1"/>
  <c r="I10" i="16"/>
  <c r="J10" i="16" s="1"/>
  <c r="I14" i="16"/>
  <c r="K14" i="16" s="1"/>
  <c r="I13" i="16"/>
  <c r="K13" i="16" s="1"/>
  <c r="D25" i="21" l="1"/>
  <c r="D61" i="21" s="1"/>
  <c r="E84" i="15"/>
  <c r="J14" i="16"/>
  <c r="J13" i="16"/>
  <c r="J12" i="16"/>
  <c r="J11" i="16"/>
  <c r="K10" i="16"/>
  <c r="Q13" i="15" s="1"/>
  <c r="E7" i="13" l="1"/>
  <c r="C7" i="13" s="1"/>
  <c r="E85" i="15"/>
  <c r="Q59" i="15"/>
  <c r="D62" i="21"/>
  <c r="D9" i="20" s="1"/>
  <c r="E9" i="20" s="1"/>
  <c r="E131" i="15"/>
  <c r="Q61" i="15"/>
  <c r="Q56" i="15"/>
  <c r="Q75" i="15"/>
  <c r="Q70" i="15"/>
  <c r="Q21" i="15"/>
  <c r="Q192" i="15"/>
  <c r="Q181" i="15"/>
  <c r="Q182" i="15"/>
  <c r="Q176" i="15"/>
  <c r="Q134" i="15"/>
  <c r="Q31" i="15"/>
  <c r="Q27" i="15"/>
  <c r="Q142" i="15"/>
  <c r="Q118" i="15"/>
  <c r="Q77" i="15"/>
  <c r="Q189" i="15"/>
  <c r="Q124" i="15"/>
  <c r="Q111" i="15"/>
  <c r="Q73" i="15"/>
  <c r="Q62" i="15"/>
  <c r="Q106" i="15"/>
  <c r="Q184" i="15"/>
  <c r="Q68" i="15"/>
  <c r="Q112" i="15"/>
  <c r="Q164" i="15"/>
  <c r="Q45" i="15"/>
  <c r="Q115" i="15"/>
  <c r="Q51" i="15"/>
  <c r="Q159" i="15"/>
  <c r="Q39" i="15"/>
  <c r="Q175" i="15"/>
  <c r="Q110" i="15"/>
  <c r="Q49" i="15"/>
  <c r="Q165" i="15"/>
  <c r="Q102" i="15"/>
  <c r="Q46" i="15"/>
  <c r="Q10" i="15"/>
  <c r="Q154" i="15"/>
  <c r="Q78" i="15"/>
  <c r="Q34" i="15"/>
  <c r="Q167" i="15"/>
  <c r="Q105" i="15"/>
  <c r="Q33" i="15"/>
  <c r="Q119" i="15"/>
  <c r="Q169" i="15"/>
  <c r="Q58" i="15"/>
  <c r="Q101" i="15"/>
  <c r="Q179" i="15"/>
  <c r="Q60" i="15"/>
  <c r="Q170" i="15"/>
  <c r="Q14" i="15"/>
  <c r="Q160" i="15"/>
  <c r="Q97" i="15"/>
  <c r="Q42" i="15"/>
  <c r="Q193" i="15"/>
  <c r="Q135" i="15"/>
  <c r="Q74" i="15"/>
  <c r="Q30" i="15"/>
  <c r="Q162" i="15"/>
  <c r="Q100" i="15"/>
  <c r="Q24" i="15"/>
  <c r="Q22" i="15"/>
  <c r="Q50" i="15"/>
  <c r="Q121" i="15"/>
  <c r="Q177" i="15"/>
  <c r="Q18" i="15"/>
  <c r="P176" i="15"/>
  <c r="Q107" i="15"/>
  <c r="Q96" i="15"/>
  <c r="Q155" i="15"/>
  <c r="Q79" i="15"/>
  <c r="Q35" i="15"/>
  <c r="Q185" i="15"/>
  <c r="Q122" i="15"/>
  <c r="Q69" i="15"/>
  <c r="Q26" i="15"/>
  <c r="Q157" i="15"/>
  <c r="Q95" i="15"/>
  <c r="Q76" i="15"/>
  <c r="P199" i="15"/>
  <c r="P111" i="15"/>
  <c r="Q12" i="15"/>
  <c r="Q32" i="15"/>
  <c r="Q19" i="15"/>
  <c r="Q178" i="15"/>
  <c r="Q143" i="15"/>
  <c r="Q114" i="15"/>
  <c r="Q29" i="15"/>
  <c r="Q125" i="15"/>
  <c r="Q28" i="15"/>
  <c r="Q20" i="15"/>
  <c r="Q98" i="15"/>
  <c r="Q17" i="15"/>
  <c r="Q55" i="15"/>
  <c r="Q190" i="15"/>
  <c r="Q71" i="15"/>
  <c r="Q44" i="15"/>
  <c r="Q161" i="15"/>
  <c r="Q43" i="15"/>
  <c r="Q38" i="15"/>
  <c r="Q183" i="15"/>
  <c r="Q120" i="15"/>
  <c r="Q67" i="15"/>
  <c r="Q23" i="15"/>
  <c r="Q171" i="15"/>
  <c r="Q109" i="15"/>
  <c r="Q52" i="15"/>
  <c r="Q15" i="15"/>
  <c r="Q166" i="15"/>
  <c r="Q103" i="15"/>
  <c r="Q47" i="15"/>
  <c r="Q11" i="15"/>
  <c r="Q16" i="15"/>
  <c r="Q156" i="15"/>
  <c r="Q80" i="15"/>
  <c r="Q37" i="15"/>
  <c r="Q199" i="15"/>
  <c r="P142" i="15"/>
  <c r="P50" i="15"/>
  <c r="P44" i="15"/>
  <c r="P156" i="15"/>
  <c r="P70" i="15"/>
  <c r="P37" i="15"/>
  <c r="P157" i="15"/>
  <c r="P95" i="15"/>
  <c r="P38" i="15"/>
  <c r="P125" i="15"/>
  <c r="P114" i="15"/>
  <c r="P18" i="15"/>
  <c r="P106" i="15"/>
  <c r="P59" i="15"/>
  <c r="P45" i="15"/>
  <c r="P182" i="15"/>
  <c r="P119" i="15"/>
  <c r="P62" i="15"/>
  <c r="P159" i="15"/>
  <c r="P96" i="15"/>
  <c r="P39" i="15"/>
  <c r="P143" i="15"/>
  <c r="P15" i="15"/>
  <c r="P77" i="15"/>
  <c r="P33" i="15"/>
  <c r="P109" i="15"/>
  <c r="P76" i="15"/>
  <c r="P13" i="15"/>
  <c r="P162" i="15"/>
  <c r="P171" i="15"/>
  <c r="P177" i="15"/>
  <c r="P112" i="15"/>
  <c r="P58" i="15"/>
  <c r="P154" i="15"/>
  <c r="P78" i="15"/>
  <c r="P34" i="15"/>
  <c r="P103" i="15"/>
  <c r="P192" i="15"/>
  <c r="P134" i="15"/>
  <c r="P73" i="15"/>
  <c r="P29" i="15"/>
  <c r="P98" i="15"/>
  <c r="P52" i="15"/>
  <c r="P178" i="15"/>
  <c r="P124" i="15"/>
  <c r="P164" i="15"/>
  <c r="P170" i="15"/>
  <c r="P107" i="15"/>
  <c r="P51" i="15"/>
  <c r="P193" i="15"/>
  <c r="P135" i="15"/>
  <c r="P74" i="15"/>
  <c r="P30" i="15"/>
  <c r="P71" i="15"/>
  <c r="P184" i="15"/>
  <c r="P121" i="15"/>
  <c r="P68" i="15"/>
  <c r="P24" i="15"/>
  <c r="P67" i="15"/>
  <c r="P23" i="15"/>
  <c r="P14" i="15"/>
  <c r="P10" i="15"/>
  <c r="P100" i="15"/>
  <c r="P189" i="15"/>
  <c r="P31" i="15"/>
  <c r="P165" i="15"/>
  <c r="P102" i="15"/>
  <c r="P46" i="15"/>
  <c r="P185" i="15"/>
  <c r="P122" i="15"/>
  <c r="P69" i="15"/>
  <c r="P26" i="15"/>
  <c r="P47" i="15"/>
  <c r="P161" i="15"/>
  <c r="P179" i="15"/>
  <c r="P115" i="15"/>
  <c r="P60" i="15"/>
  <c r="P20" i="15"/>
  <c r="P43" i="15"/>
  <c r="P190" i="15"/>
  <c r="P75" i="15"/>
  <c r="P169" i="15"/>
  <c r="P101" i="15"/>
  <c r="P22" i="15"/>
  <c r="P160" i="15"/>
  <c r="P97" i="15"/>
  <c r="P35" i="15"/>
  <c r="P181" i="15"/>
  <c r="P118" i="15"/>
  <c r="P61" i="15"/>
  <c r="P21" i="15"/>
  <c r="P28" i="15"/>
  <c r="P120" i="15"/>
  <c r="P175" i="15"/>
  <c r="P110" i="15"/>
  <c r="P55" i="15"/>
  <c r="P16" i="15"/>
  <c r="P32" i="15"/>
  <c r="P183" i="15"/>
  <c r="P42" i="15"/>
  <c r="P155" i="15"/>
  <c r="P79" i="15"/>
  <c r="P27" i="15"/>
  <c r="P56" i="15"/>
  <c r="P17" i="15"/>
  <c r="P11" i="15"/>
  <c r="P80" i="15"/>
  <c r="P167" i="15"/>
  <c r="P105" i="15"/>
  <c r="P49" i="15"/>
  <c r="P12" i="15"/>
  <c r="P19" i="15"/>
  <c r="P166" i="15"/>
  <c r="I10" i="15"/>
  <c r="H10" i="15"/>
  <c r="F86" i="15"/>
  <c r="R196" i="15"/>
  <c r="E52" i="14" s="1"/>
  <c r="R198" i="15"/>
  <c r="E55" i="14" s="1"/>
  <c r="J191" i="15"/>
  <c r="I191" i="15"/>
  <c r="H191" i="15"/>
  <c r="M191" i="15"/>
  <c r="L191" i="15"/>
  <c r="K191" i="15"/>
  <c r="M188" i="15"/>
  <c r="L188" i="15"/>
  <c r="J180" i="15"/>
  <c r="K180" i="15"/>
  <c r="M180" i="15"/>
  <c r="L180" i="15"/>
  <c r="K174" i="15"/>
  <c r="M174" i="15"/>
  <c r="L174" i="15"/>
  <c r="K168" i="15"/>
  <c r="M168" i="15"/>
  <c r="L168" i="15"/>
  <c r="J168" i="15"/>
  <c r="I168" i="15"/>
  <c r="H168" i="15"/>
  <c r="K163" i="15"/>
  <c r="J163" i="15"/>
  <c r="M163" i="15"/>
  <c r="L163" i="15"/>
  <c r="I163" i="15"/>
  <c r="M158" i="15"/>
  <c r="L158" i="15"/>
  <c r="M153" i="15"/>
  <c r="L153" i="15"/>
  <c r="I133" i="15"/>
  <c r="I136" i="15" s="1"/>
  <c r="I145" i="15" s="1"/>
  <c r="M133" i="15"/>
  <c r="M136" i="15" s="1"/>
  <c r="M145" i="15" s="1"/>
  <c r="M146" i="15" s="1"/>
  <c r="L133" i="15"/>
  <c r="L136" i="15" s="1"/>
  <c r="K133" i="15"/>
  <c r="K136" i="15" s="1"/>
  <c r="K145" i="15" s="1"/>
  <c r="J133" i="15"/>
  <c r="J136" i="15" s="1"/>
  <c r="J145" i="15" s="1"/>
  <c r="M123" i="15"/>
  <c r="L123" i="15"/>
  <c r="M117" i="15"/>
  <c r="L117" i="15"/>
  <c r="I113" i="15"/>
  <c r="H113" i="15"/>
  <c r="M113" i="15"/>
  <c r="L113" i="15"/>
  <c r="M108" i="15"/>
  <c r="L108" i="15"/>
  <c r="J104" i="15"/>
  <c r="M104" i="15"/>
  <c r="L104" i="15"/>
  <c r="I104" i="15"/>
  <c r="K99" i="15"/>
  <c r="I99" i="15"/>
  <c r="M99" i="15"/>
  <c r="L99" i="15"/>
  <c r="J94" i="15"/>
  <c r="M94" i="15"/>
  <c r="L94" i="15"/>
  <c r="K94" i="15"/>
  <c r="Q86" i="15"/>
  <c r="P86" i="15"/>
  <c r="M86" i="15"/>
  <c r="L86" i="15"/>
  <c r="K86" i="15"/>
  <c r="J86" i="15"/>
  <c r="I86" i="15"/>
  <c r="H86" i="15"/>
  <c r="G86" i="15"/>
  <c r="J72" i="15"/>
  <c r="I72" i="15"/>
  <c r="M72" i="15"/>
  <c r="L72" i="15"/>
  <c r="J66" i="15"/>
  <c r="I66" i="15"/>
  <c r="M66" i="15"/>
  <c r="L66" i="15"/>
  <c r="H66" i="15"/>
  <c r="K57" i="15"/>
  <c r="J57" i="15"/>
  <c r="S57" i="15"/>
  <c r="S53" i="15" s="1"/>
  <c r="S63" i="15" s="1"/>
  <c r="Q57" i="15"/>
  <c r="M57" i="15"/>
  <c r="M53" i="15" s="1"/>
  <c r="L57" i="15"/>
  <c r="L53" i="15" s="1"/>
  <c r="K48" i="15"/>
  <c r="J48" i="15"/>
  <c r="S48" i="15"/>
  <c r="M48" i="15"/>
  <c r="L48" i="15"/>
  <c r="I48" i="15"/>
  <c r="J41" i="15"/>
  <c r="S41" i="15"/>
  <c r="M41" i="15"/>
  <c r="L41" i="15"/>
  <c r="S36" i="15"/>
  <c r="M36" i="15"/>
  <c r="L36" i="15"/>
  <c r="S25" i="15"/>
  <c r="M25" i="15"/>
  <c r="L25" i="15"/>
  <c r="M9" i="15"/>
  <c r="L9" i="15"/>
  <c r="E31" i="9"/>
  <c r="J101" i="15"/>
  <c r="J175" i="15"/>
  <c r="J38" i="15"/>
  <c r="J37" i="15"/>
  <c r="J34" i="15"/>
  <c r="J33" i="15"/>
  <c r="J31" i="15"/>
  <c r="J29" i="15"/>
  <c r="J27" i="15"/>
  <c r="J26" i="15"/>
  <c r="J24" i="15"/>
  <c r="J22" i="15"/>
  <c r="J20" i="15"/>
  <c r="J18" i="15"/>
  <c r="J14" i="15"/>
  <c r="J12" i="15"/>
  <c r="J11" i="15"/>
  <c r="E23" i="7"/>
  <c r="E17" i="7"/>
  <c r="E41" i="7"/>
  <c r="D40" i="7"/>
  <c r="D20" i="13" s="1"/>
  <c r="C20" i="13" s="1"/>
  <c r="C39" i="7"/>
  <c r="C38" i="7"/>
  <c r="C35" i="7"/>
  <c r="C31" i="7"/>
  <c r="E12" i="7"/>
  <c r="E11" i="7"/>
  <c r="E10" i="7"/>
  <c r="E7" i="7"/>
  <c r="E6" i="7"/>
  <c r="E5" i="7"/>
  <c r="Q188" i="15" l="1"/>
  <c r="S40" i="15"/>
  <c r="L145" i="15"/>
  <c r="L146" i="15" s="1"/>
  <c r="J10" i="15"/>
  <c r="J9" i="15" s="1"/>
  <c r="K39" i="15"/>
  <c r="Q36" i="15"/>
  <c r="Q191" i="15"/>
  <c r="Q194" i="15" s="1"/>
  <c r="Q158" i="15"/>
  <c r="Q168" i="15"/>
  <c r="Q48" i="15"/>
  <c r="Q94" i="15"/>
  <c r="Q153" i="15"/>
  <c r="Q108" i="15"/>
  <c r="Q123" i="15"/>
  <c r="Q104" i="15"/>
  <c r="Q133" i="15"/>
  <c r="Q136" i="15" s="1"/>
  <c r="Q145" i="15" s="1"/>
  <c r="Q53" i="15"/>
  <c r="Q99" i="15"/>
  <c r="Q117" i="15"/>
  <c r="Q113" i="15"/>
  <c r="Q163" i="15"/>
  <c r="Q180" i="15"/>
  <c r="Q174" i="15"/>
  <c r="Q72" i="15"/>
  <c r="L93" i="15"/>
  <c r="L92" i="15" s="1"/>
  <c r="L116" i="15" s="1"/>
  <c r="L126" i="15" s="1"/>
  <c r="D36" i="15"/>
  <c r="L194" i="15"/>
  <c r="L40" i="15"/>
  <c r="M194" i="15"/>
  <c r="Q41" i="15"/>
  <c r="M81" i="15"/>
  <c r="M87" i="15" s="1"/>
  <c r="Q66" i="15"/>
  <c r="P48" i="15"/>
  <c r="L8" i="15"/>
  <c r="P123" i="15"/>
  <c r="L81" i="15"/>
  <c r="Q25" i="15"/>
  <c r="M8" i="15"/>
  <c r="M40" i="15"/>
  <c r="M93" i="15"/>
  <c r="M92" i="15" s="1"/>
  <c r="M116" i="15" s="1"/>
  <c r="M126" i="15" s="1"/>
  <c r="D48" i="15"/>
  <c r="J40" i="15"/>
  <c r="J112" i="15"/>
  <c r="J108" i="15" s="1"/>
  <c r="K162" i="15"/>
  <c r="K158" i="15" s="1"/>
  <c r="K155" i="15"/>
  <c r="K153" i="15" s="1"/>
  <c r="J100" i="15"/>
  <c r="J99" i="15" s="1"/>
  <c r="J93" i="15" s="1"/>
  <c r="Q9" i="15"/>
  <c r="P57" i="15"/>
  <c r="P53" i="15" s="1"/>
  <c r="P36" i="15"/>
  <c r="P104" i="15"/>
  <c r="P153" i="15"/>
  <c r="P158" i="15"/>
  <c r="P113" i="15"/>
  <c r="P163" i="15"/>
  <c r="P117" i="15"/>
  <c r="P191" i="15"/>
  <c r="P25" i="15"/>
  <c r="P108" i="15"/>
  <c r="P41" i="15"/>
  <c r="P66" i="15"/>
  <c r="P99" i="15"/>
  <c r="P168" i="15"/>
  <c r="P133" i="15"/>
  <c r="P136" i="15" s="1"/>
  <c r="P145" i="15" s="1"/>
  <c r="P174" i="15"/>
  <c r="P94" i="15"/>
  <c r="P72" i="15"/>
  <c r="P188" i="15"/>
  <c r="P9" i="15"/>
  <c r="P180" i="15"/>
  <c r="E66" i="15"/>
  <c r="D57" i="15"/>
  <c r="D53" i="15" s="1"/>
  <c r="D41" i="15"/>
  <c r="D9" i="15"/>
  <c r="K186" i="15"/>
  <c r="I57" i="15"/>
  <c r="I94" i="15"/>
  <c r="I93" i="15" s="1"/>
  <c r="J174" i="15"/>
  <c r="J186" i="15" s="1"/>
  <c r="D25" i="15"/>
  <c r="K41" i="15"/>
  <c r="K40" i="15" s="1"/>
  <c r="H163" i="15"/>
  <c r="H25" i="15"/>
  <c r="H117" i="15"/>
  <c r="L186" i="15"/>
  <c r="H180" i="15"/>
  <c r="H133" i="15"/>
  <c r="H136" i="15" s="1"/>
  <c r="H145" i="15" s="1"/>
  <c r="L152" i="15"/>
  <c r="L172" i="15" s="1"/>
  <c r="H123" i="15"/>
  <c r="H36" i="15"/>
  <c r="I25" i="15"/>
  <c r="I36" i="15"/>
  <c r="J36" i="15"/>
  <c r="J158" i="15"/>
  <c r="M186" i="15"/>
  <c r="K25" i="15"/>
  <c r="I41" i="15"/>
  <c r="I40" i="15" s="1"/>
  <c r="E72" i="15"/>
  <c r="K66" i="15"/>
  <c r="M152" i="15"/>
  <c r="M172" i="15" s="1"/>
  <c r="K9" i="15"/>
  <c r="K72" i="15"/>
  <c r="K104" i="15"/>
  <c r="K93" i="15" s="1"/>
  <c r="K123" i="15"/>
  <c r="I180" i="15"/>
  <c r="K188" i="15"/>
  <c r="K194" i="15" s="1"/>
  <c r="I9" i="15"/>
  <c r="I108" i="15"/>
  <c r="H9" i="15"/>
  <c r="K36" i="15"/>
  <c r="H188" i="15"/>
  <c r="H194" i="15" s="1"/>
  <c r="I81" i="15"/>
  <c r="I87" i="15" s="1"/>
  <c r="K108" i="15"/>
  <c r="J81" i="15"/>
  <c r="I117" i="15"/>
  <c r="H153" i="15"/>
  <c r="J188" i="15"/>
  <c r="J194" i="15" s="1"/>
  <c r="J113" i="15"/>
  <c r="J117" i="15"/>
  <c r="I123" i="15"/>
  <c r="H158" i="15"/>
  <c r="J25" i="15"/>
  <c r="K113" i="15"/>
  <c r="K117" i="15"/>
  <c r="J123" i="15"/>
  <c r="J153" i="15"/>
  <c r="H174" i="15"/>
  <c r="C40" i="7"/>
  <c r="K34" i="4"/>
  <c r="J34" i="4"/>
  <c r="I34" i="4"/>
  <c r="J41" i="4"/>
  <c r="I41" i="4"/>
  <c r="J40" i="4"/>
  <c r="I4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3" i="4"/>
  <c r="J23" i="4"/>
  <c r="I24" i="4"/>
  <c r="J24" i="4"/>
  <c r="I25" i="4"/>
  <c r="J25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5" i="4"/>
  <c r="J35" i="4"/>
  <c r="I36" i="4"/>
  <c r="J36" i="4"/>
  <c r="I37" i="4"/>
  <c r="J37" i="4"/>
  <c r="I38" i="4"/>
  <c r="J38" i="4"/>
  <c r="J6" i="4"/>
  <c r="J5" i="4"/>
  <c r="I6" i="4"/>
  <c r="I5" i="4"/>
  <c r="F53" i="6"/>
  <c r="E53" i="6"/>
  <c r="D52" i="6"/>
  <c r="J52" i="6" s="1"/>
  <c r="D51" i="6"/>
  <c r="J51" i="6" s="1"/>
  <c r="D50" i="6"/>
  <c r="J50" i="6" s="1"/>
  <c r="D49" i="6"/>
  <c r="J49" i="6" s="1"/>
  <c r="D48" i="6"/>
  <c r="J48" i="6" s="1"/>
  <c r="H50" i="15" s="1"/>
  <c r="D47" i="6"/>
  <c r="J47" i="6" s="1"/>
  <c r="H59" i="15" s="1"/>
  <c r="D46" i="6"/>
  <c r="J46" i="6" s="1"/>
  <c r="H49" i="15" s="1"/>
  <c r="D45" i="6"/>
  <c r="J45" i="6" s="1"/>
  <c r="D44" i="6"/>
  <c r="J44" i="6" s="1"/>
  <c r="D43" i="6"/>
  <c r="J43" i="6" s="1"/>
  <c r="D42" i="6"/>
  <c r="J42" i="6" s="1"/>
  <c r="D41" i="6"/>
  <c r="J41" i="6" s="1"/>
  <c r="D40" i="6"/>
  <c r="J40" i="6" s="1"/>
  <c r="D39" i="6"/>
  <c r="J39" i="6" s="1"/>
  <c r="D38" i="6"/>
  <c r="J38" i="6" s="1"/>
  <c r="D37" i="6"/>
  <c r="J37" i="6" s="1"/>
  <c r="H56" i="15" s="1"/>
  <c r="D36" i="6"/>
  <c r="J36" i="6" s="1"/>
  <c r="D35" i="6"/>
  <c r="J35" i="6" s="1"/>
  <c r="D34" i="6"/>
  <c r="J34" i="6" s="1"/>
  <c r="D33" i="6"/>
  <c r="J33" i="6" s="1"/>
  <c r="D32" i="6"/>
  <c r="J32" i="6" s="1"/>
  <c r="D31" i="6"/>
  <c r="J31" i="6" s="1"/>
  <c r="D30" i="6"/>
  <c r="J30" i="6" s="1"/>
  <c r="D29" i="6"/>
  <c r="J29" i="6" s="1"/>
  <c r="D28" i="6"/>
  <c r="J28" i="6" s="1"/>
  <c r="D27" i="6"/>
  <c r="D26" i="6"/>
  <c r="J26" i="6" s="1"/>
  <c r="D25" i="6"/>
  <c r="J25" i="6" s="1"/>
  <c r="J24" i="6"/>
  <c r="D23" i="6"/>
  <c r="J23" i="6" s="1"/>
  <c r="D22" i="6"/>
  <c r="J22" i="6" s="1"/>
  <c r="D21" i="6"/>
  <c r="J21" i="6" s="1"/>
  <c r="H103" i="15" s="1"/>
  <c r="D20" i="6"/>
  <c r="J20" i="6" s="1"/>
  <c r="D19" i="6"/>
  <c r="J19" i="6" s="1"/>
  <c r="D17" i="6"/>
  <c r="J17" i="6" s="1"/>
  <c r="D16" i="6"/>
  <c r="J16" i="6" s="1"/>
  <c r="D15" i="6"/>
  <c r="J15" i="6" s="1"/>
  <c r="D14" i="6"/>
  <c r="J14" i="6" s="1"/>
  <c r="D13" i="6"/>
  <c r="J13" i="6" s="1"/>
  <c r="D12" i="6"/>
  <c r="J12" i="6" s="1"/>
  <c r="D11" i="6"/>
  <c r="J11" i="6" s="1"/>
  <c r="D10" i="6"/>
  <c r="J10" i="6" s="1"/>
  <c r="D9" i="6"/>
  <c r="J9" i="6" s="1"/>
  <c r="D8" i="6"/>
  <c r="D7" i="6"/>
  <c r="J7" i="6" s="1"/>
  <c r="D6" i="6"/>
  <c r="J6" i="6" s="1"/>
  <c r="G45" i="4"/>
  <c r="K41" i="4"/>
  <c r="K40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7" i="4"/>
  <c r="K16" i="4"/>
  <c r="K15" i="4"/>
  <c r="K14" i="4"/>
  <c r="K13" i="4"/>
  <c r="K12" i="4"/>
  <c r="K11" i="4"/>
  <c r="K6" i="4"/>
  <c r="K5" i="4"/>
  <c r="F144" i="15" l="1"/>
  <c r="L7" i="15"/>
  <c r="L63" i="15" s="1"/>
  <c r="L87" i="15" s="1"/>
  <c r="J27" i="6"/>
  <c r="H39" i="15" s="1"/>
  <c r="D53" i="6"/>
  <c r="G53" i="6" s="1"/>
  <c r="G144" i="15"/>
  <c r="H101" i="15"/>
  <c r="H98" i="15"/>
  <c r="I162" i="15"/>
  <c r="H112" i="15"/>
  <c r="H109" i="15"/>
  <c r="I159" i="15"/>
  <c r="H111" i="15"/>
  <c r="I161" i="15"/>
  <c r="H58" i="15"/>
  <c r="H57" i="15" s="1"/>
  <c r="I176" i="15"/>
  <c r="I189" i="15"/>
  <c r="I188" i="15" s="1"/>
  <c r="I194" i="15" s="1"/>
  <c r="H73" i="15"/>
  <c r="H72" i="15" s="1"/>
  <c r="H81" i="15" s="1"/>
  <c r="H105" i="15"/>
  <c r="I156" i="15"/>
  <c r="H110" i="15"/>
  <c r="I160" i="15"/>
  <c r="I157" i="15"/>
  <c r="H107" i="15"/>
  <c r="H47" i="15"/>
  <c r="I178" i="15"/>
  <c r="I177" i="15"/>
  <c r="H44" i="15"/>
  <c r="H41" i="15" s="1"/>
  <c r="I155" i="15"/>
  <c r="H100" i="15"/>
  <c r="H48" i="15"/>
  <c r="Q186" i="15"/>
  <c r="Q40" i="15"/>
  <c r="Q93" i="15"/>
  <c r="Q92" i="15" s="1"/>
  <c r="Q116" i="15" s="1"/>
  <c r="Q126" i="15" s="1"/>
  <c r="Q152" i="15"/>
  <c r="Q172" i="15" s="1"/>
  <c r="Q81" i="15"/>
  <c r="Q87" i="15" s="1"/>
  <c r="M195" i="15"/>
  <c r="P40" i="15"/>
  <c r="Q8" i="15"/>
  <c r="D40" i="15"/>
  <c r="K81" i="15"/>
  <c r="K87" i="15" s="1"/>
  <c r="L195" i="15"/>
  <c r="H8" i="15"/>
  <c r="J92" i="15"/>
  <c r="J116" i="15" s="1"/>
  <c r="J126" i="15" s="1"/>
  <c r="M7" i="15"/>
  <c r="M63" i="15" s="1"/>
  <c r="K152" i="15"/>
  <c r="K172" i="15" s="1"/>
  <c r="K195" i="15" s="1"/>
  <c r="K54" i="15" s="1"/>
  <c r="K53" i="15" s="1"/>
  <c r="H186" i="15"/>
  <c r="P152" i="15"/>
  <c r="P172" i="15" s="1"/>
  <c r="P8" i="15"/>
  <c r="P93" i="15"/>
  <c r="P92" i="15" s="1"/>
  <c r="P116" i="15" s="1"/>
  <c r="P126" i="15" s="1"/>
  <c r="P194" i="15"/>
  <c r="P186" i="15"/>
  <c r="P81" i="15"/>
  <c r="G193" i="15"/>
  <c r="G185" i="15"/>
  <c r="G181" i="15"/>
  <c r="G176" i="15"/>
  <c r="G169" i="15"/>
  <c r="G164" i="15"/>
  <c r="G159" i="15"/>
  <c r="G154" i="15"/>
  <c r="G135" i="15"/>
  <c r="G122" i="15"/>
  <c r="G118" i="15"/>
  <c r="G111" i="15"/>
  <c r="G106" i="15"/>
  <c r="G101" i="15"/>
  <c r="G96" i="15"/>
  <c r="G100" i="15"/>
  <c r="G46" i="15"/>
  <c r="G14" i="15"/>
  <c r="G78" i="15"/>
  <c r="G74" i="15"/>
  <c r="G69" i="15"/>
  <c r="G61" i="15"/>
  <c r="G56" i="15"/>
  <c r="G50" i="15"/>
  <c r="G45" i="15"/>
  <c r="G39" i="15"/>
  <c r="G34" i="15"/>
  <c r="G30" i="15"/>
  <c r="G26" i="15"/>
  <c r="G21" i="15"/>
  <c r="G17" i="15"/>
  <c r="G13" i="15"/>
  <c r="G95" i="15"/>
  <c r="G58" i="15"/>
  <c r="G18" i="15"/>
  <c r="G192" i="15"/>
  <c r="G184" i="15"/>
  <c r="G179" i="15"/>
  <c r="G175" i="15"/>
  <c r="G167" i="15"/>
  <c r="G162" i="15"/>
  <c r="G157" i="15"/>
  <c r="G134" i="15"/>
  <c r="G121" i="15"/>
  <c r="G115" i="15"/>
  <c r="G110" i="15"/>
  <c r="G105" i="15"/>
  <c r="G62" i="15"/>
  <c r="G22" i="15"/>
  <c r="G77" i="15"/>
  <c r="G73" i="15"/>
  <c r="G68" i="15"/>
  <c r="G60" i="15"/>
  <c r="G55" i="15"/>
  <c r="G49" i="15"/>
  <c r="G44" i="15"/>
  <c r="G38" i="15"/>
  <c r="G33" i="15"/>
  <c r="G29" i="15"/>
  <c r="G24" i="15"/>
  <c r="G20" i="15"/>
  <c r="G16" i="15"/>
  <c r="G12" i="15"/>
  <c r="G28" i="15"/>
  <c r="G15" i="15"/>
  <c r="G119" i="15"/>
  <c r="G97" i="15"/>
  <c r="G70" i="15"/>
  <c r="G35" i="15"/>
  <c r="G27" i="15"/>
  <c r="G190" i="15"/>
  <c r="G183" i="15"/>
  <c r="G178" i="15"/>
  <c r="G171" i="15"/>
  <c r="G166" i="15"/>
  <c r="G161" i="15"/>
  <c r="G156" i="15"/>
  <c r="G143" i="15"/>
  <c r="G125" i="15"/>
  <c r="G120" i="15"/>
  <c r="G114" i="15"/>
  <c r="G109" i="15"/>
  <c r="G103" i="15"/>
  <c r="G98" i="15"/>
  <c r="G23" i="15"/>
  <c r="G11" i="15"/>
  <c r="G102" i="15"/>
  <c r="G79" i="15"/>
  <c r="G51" i="15"/>
  <c r="G10" i="15"/>
  <c r="G80" i="15"/>
  <c r="G76" i="15"/>
  <c r="G71" i="15"/>
  <c r="G67" i="15"/>
  <c r="G59" i="15"/>
  <c r="G52" i="15"/>
  <c r="G47" i="15"/>
  <c r="G43" i="15"/>
  <c r="G37" i="15"/>
  <c r="G32" i="15"/>
  <c r="G19" i="15"/>
  <c r="G107" i="15"/>
  <c r="G75" i="15"/>
  <c r="G31" i="15"/>
  <c r="G199" i="15"/>
  <c r="G189" i="15"/>
  <c r="G182" i="15"/>
  <c r="G177" i="15"/>
  <c r="G170" i="15"/>
  <c r="G165" i="15"/>
  <c r="G160" i="15"/>
  <c r="G155" i="15"/>
  <c r="G142" i="15"/>
  <c r="G124" i="15"/>
  <c r="G112" i="15"/>
  <c r="G42" i="15"/>
  <c r="F79" i="15"/>
  <c r="F75" i="15"/>
  <c r="F70" i="15"/>
  <c r="F62" i="15"/>
  <c r="F58" i="15"/>
  <c r="F51" i="15"/>
  <c r="F46" i="15"/>
  <c r="F42" i="15"/>
  <c r="F35" i="15"/>
  <c r="F31" i="15"/>
  <c r="F27" i="15"/>
  <c r="F22" i="15"/>
  <c r="F18" i="15"/>
  <c r="F14" i="15"/>
  <c r="F10" i="15"/>
  <c r="F74" i="15"/>
  <c r="F56" i="15"/>
  <c r="F45" i="15"/>
  <c r="F30" i="15"/>
  <c r="F13" i="15"/>
  <c r="F160" i="15"/>
  <c r="F97" i="15"/>
  <c r="F193" i="15"/>
  <c r="F185" i="15"/>
  <c r="F181" i="15"/>
  <c r="F176" i="15"/>
  <c r="F169" i="15"/>
  <c r="F164" i="15"/>
  <c r="F159" i="15"/>
  <c r="F154" i="15"/>
  <c r="F135" i="15"/>
  <c r="F122" i="15"/>
  <c r="F118" i="15"/>
  <c r="F111" i="15"/>
  <c r="F106" i="15"/>
  <c r="F101" i="15"/>
  <c r="F96" i="15"/>
  <c r="F69" i="15"/>
  <c r="F50" i="15"/>
  <c r="F39" i="15"/>
  <c r="F26" i="15"/>
  <c r="F17" i="15"/>
  <c r="F155" i="15"/>
  <c r="F102" i="15"/>
  <c r="F78" i="15"/>
  <c r="F61" i="15"/>
  <c r="F34" i="15"/>
  <c r="F21" i="15"/>
  <c r="F199" i="15"/>
  <c r="F119" i="15"/>
  <c r="F192" i="15"/>
  <c r="F184" i="15"/>
  <c r="F179" i="15"/>
  <c r="F175" i="15"/>
  <c r="F167" i="15"/>
  <c r="F162" i="15"/>
  <c r="F157" i="15"/>
  <c r="F134" i="15"/>
  <c r="F121" i="15"/>
  <c r="F115" i="15"/>
  <c r="F110" i="15"/>
  <c r="F105" i="15"/>
  <c r="F100" i="15"/>
  <c r="F95" i="15"/>
  <c r="F67" i="15"/>
  <c r="F47" i="15"/>
  <c r="F32" i="15"/>
  <c r="F15" i="15"/>
  <c r="F189" i="15"/>
  <c r="F165" i="15"/>
  <c r="F112" i="15"/>
  <c r="F77" i="15"/>
  <c r="F73" i="15"/>
  <c r="F68" i="15"/>
  <c r="F60" i="15"/>
  <c r="F55" i="15"/>
  <c r="F49" i="15"/>
  <c r="F44" i="15"/>
  <c r="F38" i="15"/>
  <c r="F33" i="15"/>
  <c r="F29" i="15"/>
  <c r="F24" i="15"/>
  <c r="F20" i="15"/>
  <c r="F16" i="15"/>
  <c r="F12" i="15"/>
  <c r="F80" i="15"/>
  <c r="F59" i="15"/>
  <c r="F37" i="15"/>
  <c r="F19" i="15"/>
  <c r="F182" i="15"/>
  <c r="F142" i="15"/>
  <c r="F190" i="15"/>
  <c r="F183" i="15"/>
  <c r="F178" i="15"/>
  <c r="F171" i="15"/>
  <c r="F166" i="15"/>
  <c r="F161" i="15"/>
  <c r="F156" i="15"/>
  <c r="F143" i="15"/>
  <c r="F125" i="15"/>
  <c r="F120" i="15"/>
  <c r="F114" i="15"/>
  <c r="F109" i="15"/>
  <c r="F103" i="15"/>
  <c r="F98" i="15"/>
  <c r="F71" i="15"/>
  <c r="F52" i="15"/>
  <c r="F28" i="15"/>
  <c r="F11" i="15"/>
  <c r="F177" i="15"/>
  <c r="F124" i="15"/>
  <c r="F76" i="15"/>
  <c r="F43" i="15"/>
  <c r="F23" i="15"/>
  <c r="F170" i="15"/>
  <c r="F107" i="15"/>
  <c r="J152" i="15"/>
  <c r="J172" i="15" s="1"/>
  <c r="J195" i="15" s="1"/>
  <c r="J54" i="15" s="1"/>
  <c r="J53" i="15" s="1"/>
  <c r="K92" i="15"/>
  <c r="K116" i="15" s="1"/>
  <c r="K126" i="15" s="1"/>
  <c r="J8" i="15"/>
  <c r="J7" i="15" s="1"/>
  <c r="I92" i="15"/>
  <c r="I116" i="15" s="1"/>
  <c r="I126" i="15" s="1"/>
  <c r="E81" i="15"/>
  <c r="D8" i="15"/>
  <c r="I8" i="15"/>
  <c r="I7" i="15" s="1"/>
  <c r="K8" i="15"/>
  <c r="K7" i="15" s="1"/>
  <c r="H152" i="15"/>
  <c r="H172" i="15" s="1"/>
  <c r="J8" i="6"/>
  <c r="K45" i="4"/>
  <c r="K47" i="4" s="1"/>
  <c r="S74" i="15" l="1"/>
  <c r="E15" i="11" s="1"/>
  <c r="F67" i="22"/>
  <c r="I175" i="15"/>
  <c r="S175" i="15" s="1"/>
  <c r="J53" i="6"/>
  <c r="D15" i="20" s="1"/>
  <c r="E15" i="20" s="1"/>
  <c r="R14" i="15"/>
  <c r="C14" i="11" s="1"/>
  <c r="R103" i="15"/>
  <c r="E18" i="12" s="1"/>
  <c r="S80" i="15"/>
  <c r="E21" i="11" s="1"/>
  <c r="R166" i="15"/>
  <c r="E22" i="14" s="1"/>
  <c r="H95" i="15"/>
  <c r="H94" i="15" s="1"/>
  <c r="H99" i="15"/>
  <c r="Q195" i="15"/>
  <c r="G48" i="15"/>
  <c r="R97" i="15"/>
  <c r="E12" i="12" s="1"/>
  <c r="R21" i="15"/>
  <c r="C21" i="11" s="1"/>
  <c r="R56" i="15"/>
  <c r="C55" i="11" s="1"/>
  <c r="D12" i="20"/>
  <c r="E12" i="20" s="1"/>
  <c r="H195" i="15"/>
  <c r="H104" i="15"/>
  <c r="H108" i="15"/>
  <c r="I154" i="15"/>
  <c r="I153" i="15" s="1"/>
  <c r="S177" i="15"/>
  <c r="E33" i="14" s="1"/>
  <c r="H40" i="15"/>
  <c r="H7" i="15" s="1"/>
  <c r="I158" i="15"/>
  <c r="S78" i="15"/>
  <c r="E19" i="11" s="1"/>
  <c r="R22" i="15"/>
  <c r="C22" i="11" s="1"/>
  <c r="R43" i="15"/>
  <c r="C42" i="11" s="1"/>
  <c r="R33" i="15"/>
  <c r="C33" i="11" s="1"/>
  <c r="S77" i="15"/>
  <c r="E18" i="11" s="1"/>
  <c r="R199" i="15"/>
  <c r="E56" i="14" s="1"/>
  <c r="E57" i="14" s="1"/>
  <c r="R118" i="15"/>
  <c r="E33" i="12" s="1"/>
  <c r="Q7" i="15"/>
  <c r="Q63" i="15" s="1"/>
  <c r="R18" i="15"/>
  <c r="C18" i="11" s="1"/>
  <c r="S142" i="15"/>
  <c r="D30" i="7" s="1"/>
  <c r="D33" i="7" s="1"/>
  <c r="R171" i="15"/>
  <c r="E27" i="14" s="1"/>
  <c r="S155" i="15"/>
  <c r="E11" i="14" s="1"/>
  <c r="R34" i="15"/>
  <c r="C34" i="11" s="1"/>
  <c r="R10" i="15"/>
  <c r="C10" i="11" s="1"/>
  <c r="F188" i="15"/>
  <c r="P7" i="15"/>
  <c r="P63" i="15" s="1"/>
  <c r="P87" i="15" s="1"/>
  <c r="R11" i="15"/>
  <c r="C11" i="11" s="1"/>
  <c r="R30" i="15"/>
  <c r="C30" i="11" s="1"/>
  <c r="R110" i="15"/>
  <c r="E25" i="12" s="1"/>
  <c r="R29" i="15"/>
  <c r="C29" i="11" s="1"/>
  <c r="R17" i="15"/>
  <c r="C17" i="11" s="1"/>
  <c r="R111" i="15"/>
  <c r="E26" i="12" s="1"/>
  <c r="S176" i="15"/>
  <c r="G57" i="15"/>
  <c r="S157" i="15"/>
  <c r="E13" i="14" s="1"/>
  <c r="R38" i="15"/>
  <c r="C38" i="11" s="1"/>
  <c r="R39" i="15"/>
  <c r="R122" i="15"/>
  <c r="E37" i="12" s="1"/>
  <c r="R185" i="15"/>
  <c r="E41" i="14" s="1"/>
  <c r="S178" i="15"/>
  <c r="G36" i="15"/>
  <c r="R15" i="15"/>
  <c r="C15" i="11" s="1"/>
  <c r="D7" i="15"/>
  <c r="D63" i="15" s="1"/>
  <c r="D87" i="15" s="1"/>
  <c r="S143" i="15"/>
  <c r="R27" i="15"/>
  <c r="C27" i="11" s="1"/>
  <c r="R107" i="15"/>
  <c r="E22" i="12" s="1"/>
  <c r="R16" i="15"/>
  <c r="C16" i="11" s="1"/>
  <c r="R55" i="15"/>
  <c r="C54" i="11" s="1"/>
  <c r="R96" i="15"/>
  <c r="E11" i="12" s="1"/>
  <c r="R182" i="15"/>
  <c r="D20" i="7" s="1"/>
  <c r="R112" i="15"/>
  <c r="E27" i="12" s="1"/>
  <c r="S76" i="15"/>
  <c r="E17" i="11" s="1"/>
  <c r="R121" i="15"/>
  <c r="E36" i="12" s="1"/>
  <c r="R32" i="15"/>
  <c r="C32" i="11" s="1"/>
  <c r="R184" i="15"/>
  <c r="E40" i="14" s="1"/>
  <c r="R24" i="15"/>
  <c r="C24" i="11" s="1"/>
  <c r="S68" i="15"/>
  <c r="E9" i="11" s="1"/>
  <c r="R106" i="15"/>
  <c r="E21" i="12" s="1"/>
  <c r="S70" i="15"/>
  <c r="E11" i="11" s="1"/>
  <c r="S69" i="15"/>
  <c r="E10" i="11" s="1"/>
  <c r="R98" i="15"/>
  <c r="E13" i="12" s="1"/>
  <c r="S161" i="15"/>
  <c r="E17" i="14" s="1"/>
  <c r="S170" i="15"/>
  <c r="E26" i="14" s="1"/>
  <c r="R19" i="15"/>
  <c r="C19" i="11" s="1"/>
  <c r="R61" i="15"/>
  <c r="C60" i="11" s="1"/>
  <c r="R35" i="15"/>
  <c r="C35" i="11" s="1"/>
  <c r="S115" i="15"/>
  <c r="E30" i="12" s="1"/>
  <c r="S179" i="15"/>
  <c r="E35" i="14" s="1"/>
  <c r="R20" i="15"/>
  <c r="C20" i="11" s="1"/>
  <c r="G113" i="15"/>
  <c r="R60" i="15"/>
  <c r="C59" i="11" s="1"/>
  <c r="R101" i="15"/>
  <c r="E16" i="12" s="1"/>
  <c r="R23" i="15"/>
  <c r="C23" i="11" s="1"/>
  <c r="S71" i="15"/>
  <c r="E12" i="11" s="1"/>
  <c r="S156" i="15"/>
  <c r="E12" i="14" s="1"/>
  <c r="R59" i="15"/>
  <c r="C58" i="11" s="1"/>
  <c r="R165" i="15"/>
  <c r="E21" i="14" s="1"/>
  <c r="R167" i="15"/>
  <c r="E23" i="14" s="1"/>
  <c r="R50" i="15"/>
  <c r="C49" i="11" s="1"/>
  <c r="S75" i="15"/>
  <c r="E16" i="11" s="1"/>
  <c r="R183" i="15"/>
  <c r="D21" i="7" s="1"/>
  <c r="R120" i="15"/>
  <c r="E35" i="12" s="1"/>
  <c r="S125" i="15"/>
  <c r="E40" i="12" s="1"/>
  <c r="S190" i="15"/>
  <c r="E46" i="14" s="1"/>
  <c r="S160" i="15"/>
  <c r="E16" i="14" s="1"/>
  <c r="G123" i="15"/>
  <c r="R12" i="15"/>
  <c r="C12" i="11" s="1"/>
  <c r="R52" i="15"/>
  <c r="C51" i="11" s="1"/>
  <c r="R102" i="15"/>
  <c r="R13" i="15"/>
  <c r="C13" i="11" s="1"/>
  <c r="R28" i="15"/>
  <c r="C28" i="11" s="1"/>
  <c r="G9" i="15"/>
  <c r="G108" i="15"/>
  <c r="G117" i="15"/>
  <c r="R62" i="15"/>
  <c r="C61" i="11" s="1"/>
  <c r="R45" i="15"/>
  <c r="C44" i="11" s="1"/>
  <c r="R31" i="15"/>
  <c r="C31" i="11" s="1"/>
  <c r="S79" i="15"/>
  <c r="E20" i="11" s="1"/>
  <c r="S162" i="15"/>
  <c r="E18" i="14" s="1"/>
  <c r="R44" i="15"/>
  <c r="C43" i="11" s="1"/>
  <c r="S135" i="15"/>
  <c r="C11" i="13" s="1"/>
  <c r="E11" i="13" s="1"/>
  <c r="R193" i="15"/>
  <c r="E49" i="14" s="1"/>
  <c r="R46" i="15"/>
  <c r="C45" i="11" s="1"/>
  <c r="G133" i="15"/>
  <c r="G136" i="15" s="1"/>
  <c r="G191" i="15"/>
  <c r="P195" i="15"/>
  <c r="F72" i="15"/>
  <c r="S73" i="15"/>
  <c r="E14" i="11" s="1"/>
  <c r="F66" i="15"/>
  <c r="S67" i="15"/>
  <c r="E8" i="11" s="1"/>
  <c r="F117" i="15"/>
  <c r="R119" i="15"/>
  <c r="E34" i="12" s="1"/>
  <c r="G104" i="15"/>
  <c r="G99" i="15"/>
  <c r="G153" i="15"/>
  <c r="R164" i="15"/>
  <c r="E20" i="14" s="1"/>
  <c r="F163" i="15"/>
  <c r="R37" i="15"/>
  <c r="C37" i="11" s="1"/>
  <c r="F36" i="15"/>
  <c r="F94" i="15"/>
  <c r="F25" i="15"/>
  <c r="R26" i="15"/>
  <c r="C26" i="11" s="1"/>
  <c r="F180" i="15"/>
  <c r="R181" i="15"/>
  <c r="E37" i="14" s="1"/>
  <c r="G174" i="15"/>
  <c r="G158" i="15"/>
  <c r="S124" i="15"/>
  <c r="E39" i="12" s="1"/>
  <c r="F123" i="15"/>
  <c r="F108" i="15"/>
  <c r="R109" i="15"/>
  <c r="E24" i="12" s="1"/>
  <c r="R100" i="15"/>
  <c r="E15" i="12" s="1"/>
  <c r="F99" i="15"/>
  <c r="F41" i="15"/>
  <c r="R42" i="15"/>
  <c r="C41" i="11" s="1"/>
  <c r="G163" i="15"/>
  <c r="F48" i="15"/>
  <c r="R49" i="15"/>
  <c r="C48" i="11" s="1"/>
  <c r="F113" i="15"/>
  <c r="S114" i="15"/>
  <c r="E29" i="12" s="1"/>
  <c r="R105" i="15"/>
  <c r="E20" i="12" s="1"/>
  <c r="F104" i="15"/>
  <c r="F9" i="15"/>
  <c r="G66" i="15"/>
  <c r="G168" i="15"/>
  <c r="F174" i="15"/>
  <c r="F153" i="15"/>
  <c r="R51" i="15"/>
  <c r="C50" i="11" s="1"/>
  <c r="G72" i="15"/>
  <c r="S159" i="15"/>
  <c r="E15" i="14" s="1"/>
  <c r="F158" i="15"/>
  <c r="F57" i="15"/>
  <c r="R58" i="15"/>
  <c r="C57" i="11" s="1"/>
  <c r="S189" i="15"/>
  <c r="E45" i="14" s="1"/>
  <c r="G188" i="15"/>
  <c r="G180" i="15"/>
  <c r="R47" i="15"/>
  <c r="C46" i="11" s="1"/>
  <c r="S134" i="15"/>
  <c r="C10" i="13" s="1"/>
  <c r="F133" i="15"/>
  <c r="F136" i="15" s="1"/>
  <c r="R192" i="15"/>
  <c r="E48" i="14" s="1"/>
  <c r="F191" i="15"/>
  <c r="F168" i="15"/>
  <c r="S169" i="15"/>
  <c r="E25" i="14" s="1"/>
  <c r="G25" i="15"/>
  <c r="G41" i="15"/>
  <c r="G94" i="15"/>
  <c r="J63" i="15"/>
  <c r="J87" i="15" s="1"/>
  <c r="K63" i="15"/>
  <c r="I174" i="15" l="1"/>
  <c r="I186" i="15" s="1"/>
  <c r="R95" i="15"/>
  <c r="E10" i="12" s="1"/>
  <c r="E9" i="12" s="1"/>
  <c r="S144" i="15"/>
  <c r="H54" i="15"/>
  <c r="H53" i="15" s="1"/>
  <c r="H63" i="15" s="1"/>
  <c r="H87" i="15" s="1"/>
  <c r="G145" i="15"/>
  <c r="F145" i="15"/>
  <c r="G40" i="15"/>
  <c r="S154" i="15"/>
  <c r="E10" i="14" s="1"/>
  <c r="E9" i="14" s="1"/>
  <c r="H93" i="15"/>
  <c r="H92" i="15" s="1"/>
  <c r="H116" i="15" s="1"/>
  <c r="H126" i="15" s="1"/>
  <c r="R200" i="15"/>
  <c r="E15" i="7"/>
  <c r="E24" i="14"/>
  <c r="I152" i="15"/>
  <c r="I172" i="15" s="1"/>
  <c r="C18" i="13"/>
  <c r="D18" i="13" s="1"/>
  <c r="E38" i="12"/>
  <c r="E44" i="14"/>
  <c r="F194" i="15"/>
  <c r="C30" i="7"/>
  <c r="C33" i="7" s="1"/>
  <c r="C56" i="11"/>
  <c r="E19" i="12"/>
  <c r="E32" i="12"/>
  <c r="E47" i="14"/>
  <c r="D4" i="7"/>
  <c r="E31" i="14"/>
  <c r="D34" i="7"/>
  <c r="C34" i="7" s="1"/>
  <c r="C37" i="7" s="1"/>
  <c r="C19" i="13"/>
  <c r="D19" i="13" s="1"/>
  <c r="E34" i="14"/>
  <c r="D16" i="7"/>
  <c r="E16" i="7" s="1"/>
  <c r="E28" i="12"/>
  <c r="E32" i="14"/>
  <c r="D14" i="7"/>
  <c r="C9" i="13"/>
  <c r="E9" i="13" s="1"/>
  <c r="E10" i="13"/>
  <c r="E38" i="14"/>
  <c r="C9" i="11"/>
  <c r="E23" i="12"/>
  <c r="E19" i="14"/>
  <c r="E14" i="14"/>
  <c r="C40" i="11"/>
  <c r="D9" i="7"/>
  <c r="E17" i="12"/>
  <c r="E14" i="12" s="1"/>
  <c r="E21" i="7"/>
  <c r="E39" i="14"/>
  <c r="C25" i="11"/>
  <c r="E13" i="11"/>
  <c r="C36" i="11"/>
  <c r="C47" i="11"/>
  <c r="E7" i="11"/>
  <c r="R36" i="15"/>
  <c r="S131" i="15"/>
  <c r="R104" i="15"/>
  <c r="R41" i="15"/>
  <c r="R163" i="15"/>
  <c r="S133" i="15"/>
  <c r="R108" i="15"/>
  <c r="S168" i="15"/>
  <c r="R48" i="15"/>
  <c r="R191" i="15"/>
  <c r="S66" i="15"/>
  <c r="R57" i="15"/>
  <c r="S113" i="15"/>
  <c r="S174" i="15"/>
  <c r="S158" i="15"/>
  <c r="R9" i="15"/>
  <c r="G8" i="15"/>
  <c r="S188" i="15"/>
  <c r="F152" i="15"/>
  <c r="F172" i="15" s="1"/>
  <c r="R117" i="15"/>
  <c r="G194" i="15"/>
  <c r="F40" i="15"/>
  <c r="S123" i="15"/>
  <c r="R180" i="15"/>
  <c r="R99" i="15"/>
  <c r="R25" i="15"/>
  <c r="S72" i="15"/>
  <c r="G152" i="15"/>
  <c r="G172" i="15" s="1"/>
  <c r="F81" i="15"/>
  <c r="G81" i="15"/>
  <c r="G87" i="15" s="1"/>
  <c r="G93" i="15"/>
  <c r="G92" i="15" s="1"/>
  <c r="G116" i="15" s="1"/>
  <c r="G126" i="15" s="1"/>
  <c r="F8" i="15"/>
  <c r="F93" i="15"/>
  <c r="F92" i="15" s="1"/>
  <c r="F116" i="15" s="1"/>
  <c r="F126" i="15" s="1"/>
  <c r="G186" i="15"/>
  <c r="F186" i="15"/>
  <c r="C8" i="11" l="1"/>
  <c r="I195" i="15"/>
  <c r="I54" i="15" s="1"/>
  <c r="I53" i="15" s="1"/>
  <c r="I63" i="15" s="1"/>
  <c r="R94" i="15"/>
  <c r="R93" i="15" s="1"/>
  <c r="R92" i="15" s="1"/>
  <c r="S116" i="15" s="1"/>
  <c r="S126" i="15" s="1"/>
  <c r="G7" i="15"/>
  <c r="S153" i="15"/>
  <c r="S152" i="15" s="1"/>
  <c r="R172" i="15" s="1"/>
  <c r="E50" i="14"/>
  <c r="C41" i="7"/>
  <c r="C43" i="7" s="1"/>
  <c r="R186" i="15"/>
  <c r="G195" i="15"/>
  <c r="G54" i="15" s="1"/>
  <c r="G53" i="15" s="1"/>
  <c r="E8" i="14"/>
  <c r="E28" i="14" s="1"/>
  <c r="S81" i="15"/>
  <c r="E36" i="14"/>
  <c r="D37" i="7"/>
  <c r="D41" i="7" s="1"/>
  <c r="R194" i="15"/>
  <c r="E14" i="7"/>
  <c r="E19" i="7" s="1"/>
  <c r="D19" i="7"/>
  <c r="S140" i="15" s="1"/>
  <c r="D16" i="13" s="1"/>
  <c r="E16" i="13" s="1"/>
  <c r="E8" i="12"/>
  <c r="E7" i="12" s="1"/>
  <c r="E31" i="12" s="1"/>
  <c r="E41" i="12" s="1"/>
  <c r="E30" i="14"/>
  <c r="C39" i="11"/>
  <c r="E9" i="7"/>
  <c r="E13" i="7" s="1"/>
  <c r="R139" i="15" s="1"/>
  <c r="D15" i="13" s="1"/>
  <c r="E15" i="13" s="1"/>
  <c r="D13" i="7"/>
  <c r="D25" i="7"/>
  <c r="E20" i="7"/>
  <c r="E25" i="7" s="1"/>
  <c r="R141" i="15" s="1"/>
  <c r="D17" i="13" s="1"/>
  <c r="E17" i="13" s="1"/>
  <c r="E22" i="11"/>
  <c r="E86" i="15"/>
  <c r="E87" i="15" s="1"/>
  <c r="R40" i="15"/>
  <c r="R8" i="15"/>
  <c r="F7" i="15"/>
  <c r="F195" i="15"/>
  <c r="F54" i="15" s="1"/>
  <c r="F53" i="15" s="1"/>
  <c r="C7" i="11" l="1"/>
  <c r="G63" i="15"/>
  <c r="F63" i="15"/>
  <c r="F87" i="15" s="1"/>
  <c r="R116" i="15"/>
  <c r="R126" i="15" s="1"/>
  <c r="S132" i="15" s="1"/>
  <c r="E42" i="14"/>
  <c r="E51" i="14" s="1"/>
  <c r="E53" i="14" s="1"/>
  <c r="R7" i="15"/>
  <c r="R195" i="15"/>
  <c r="R197" i="15" s="1"/>
  <c r="R201" i="15" s="1"/>
  <c r="R54" i="15"/>
  <c r="E58" i="14" l="1"/>
  <c r="D17" i="20" s="1" a="1"/>
  <c r="D17" i="20" s="1"/>
  <c r="S136" i="15"/>
  <c r="S145" i="15" s="1"/>
  <c r="S146" i="15" s="1"/>
  <c r="C8" i="13"/>
  <c r="R53" i="15"/>
  <c r="R63" i="15" s="1"/>
  <c r="R87" i="15" s="1"/>
  <c r="C53" i="11"/>
  <c r="E8" i="13" l="1"/>
  <c r="E12" i="13" s="1"/>
  <c r="D28" i="20"/>
  <c r="E28" i="20" s="1"/>
  <c r="C52" i="11"/>
  <c r="C62" i="11" s="1"/>
  <c r="D18" i="20"/>
  <c r="E18" i="20" s="1"/>
  <c r="D30" i="20"/>
  <c r="E30" i="20" s="1"/>
  <c r="C12" i="13"/>
  <c r="C21" i="13" s="1"/>
  <c r="C22" i="13" s="1"/>
  <c r="D8" i="7"/>
  <c r="E4" i="7"/>
  <c r="E8" i="7" s="1"/>
  <c r="E26" i="7" s="1"/>
  <c r="E43" i="7" s="1"/>
  <c r="S85" i="15" s="1"/>
  <c r="E25" i="11" s="1"/>
  <c r="D24" i="20" l="1"/>
  <c r="D20" i="20"/>
  <c r="D26" i="7"/>
  <c r="D43" i="7" s="1"/>
  <c r="S138" i="15"/>
  <c r="D14" i="13" s="1"/>
  <c r="S84" i="15" l="1"/>
  <c r="E24" i="11" s="1"/>
  <c r="E14" i="13"/>
  <c r="E13" i="13" s="1"/>
  <c r="E21" i="13" s="1"/>
  <c r="E22" i="13" s="1"/>
  <c r="D13" i="13"/>
  <c r="D21" i="13" s="1"/>
  <c r="D22" i="13" s="1"/>
  <c r="S86" i="15" l="1"/>
  <c r="S87" i="15" s="1"/>
  <c r="T87" i="15" s="1"/>
  <c r="U87" i="15" s="1"/>
  <c r="D23" i="20"/>
  <c r="E24" i="20" s="1"/>
  <c r="E61" i="11"/>
  <c r="D29" i="20" s="1"/>
  <c r="E29" i="20" s="1"/>
  <c r="E62" i="11" l="1"/>
  <c r="D21" i="20"/>
  <c r="E21" i="20" s="1"/>
  <c r="D27" i="20" l="1"/>
  <c r="E27" i="20" s="1"/>
  <c r="E63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<sst xmlns="http://schemas.openxmlformats.org/spreadsheetml/2006/main" count="1926" uniqueCount="677">
  <si>
    <t>BS事業用土地</t>
    <rPh sb="2" eb="5">
      <t>ジギョウヨウ</t>
    </rPh>
    <phoneticPr fontId="3"/>
  </si>
  <si>
    <t>BS立木竹</t>
  </si>
  <si>
    <t>BS事業用建物</t>
    <rPh sb="2" eb="5">
      <t>ジギョウヨウ</t>
    </rPh>
    <phoneticPr fontId="3"/>
  </si>
  <si>
    <t>BS事業用建物減価償却累計額</t>
  </si>
  <si>
    <t>BS事業用工作物</t>
  </si>
  <si>
    <t>BS事業用工作物減価償却累計額</t>
  </si>
  <si>
    <t>BS船舶</t>
  </si>
  <si>
    <t>BS船舶減価償却累計額</t>
  </si>
  <si>
    <t>BS浮標等</t>
  </si>
  <si>
    <t>BS浮標等減価償却累計額</t>
  </si>
  <si>
    <t>BS航空機</t>
  </si>
  <si>
    <t>BS航空機減価償却累計額</t>
  </si>
  <si>
    <t>BS事業用資産その他</t>
  </si>
  <si>
    <t>BS事業用資産その他減価償却累計額</t>
  </si>
  <si>
    <t>BS事業用建設仮勘定</t>
    <rPh sb="2" eb="5">
      <t>ジギョウヨウ</t>
    </rPh>
    <phoneticPr fontId="3"/>
  </si>
  <si>
    <t>BSインフラ土地</t>
  </si>
  <si>
    <t>BSインフラ建物</t>
  </si>
  <si>
    <t>BSインフラ建物減価償却累計額</t>
  </si>
  <si>
    <t>BSインフラ工作物</t>
  </si>
  <si>
    <t>BSインフラ工作物減価償却累計額</t>
  </si>
  <si>
    <t>BSインフラその他</t>
  </si>
  <si>
    <t>BSインフラその他減価償却累計額</t>
  </si>
  <si>
    <t>BSインフラ建設仮勘定</t>
  </si>
  <si>
    <t>BS物品</t>
  </si>
  <si>
    <t>BS物品減価償却累計額</t>
  </si>
  <si>
    <t>BSソフトウェア</t>
  </si>
  <si>
    <t>BSその他（無形固定資産）</t>
    <rPh sb="4" eb="5">
      <t>タ</t>
    </rPh>
    <phoneticPr fontId="3"/>
  </si>
  <si>
    <t>BS資産形成</t>
    <rPh sb="2" eb="4">
      <t>シサン</t>
    </rPh>
    <rPh sb="4" eb="6">
      <t>ケイセイ</t>
    </rPh>
    <phoneticPr fontId="3"/>
  </si>
  <si>
    <t>BS有価証券</t>
  </si>
  <si>
    <t>BS出資金</t>
  </si>
  <si>
    <t>BSその他（投資及び出資金）</t>
    <rPh sb="4" eb="5">
      <t>タ</t>
    </rPh>
    <phoneticPr fontId="3"/>
  </si>
  <si>
    <t>BS投資損失引当金</t>
  </si>
  <si>
    <t>BS長期延滞債権</t>
  </si>
  <si>
    <t>BS長期貸付金</t>
  </si>
  <si>
    <t>BS減債基金（固定資産）</t>
    <rPh sb="7" eb="9">
      <t>コテイ</t>
    </rPh>
    <rPh sb="9" eb="11">
      <t>シサン</t>
    </rPh>
    <phoneticPr fontId="3"/>
  </si>
  <si>
    <t>BSその他（基金）</t>
    <rPh sb="6" eb="8">
      <t>キキン</t>
    </rPh>
    <phoneticPr fontId="3"/>
  </si>
  <si>
    <t>BS徴収不能引当金（固定資産）</t>
    <rPh sb="10" eb="12">
      <t>コテイ</t>
    </rPh>
    <rPh sb="12" eb="14">
      <t>シサン</t>
    </rPh>
    <phoneticPr fontId="3"/>
  </si>
  <si>
    <t>BS未収金</t>
  </si>
  <si>
    <t>BS短期貸付金</t>
  </si>
  <si>
    <t>BS財政調整基金</t>
  </si>
  <si>
    <t>BS減債基金（流動資産）</t>
    <rPh sb="7" eb="9">
      <t>リュウドウ</t>
    </rPh>
    <rPh sb="9" eb="11">
      <t>シサン</t>
    </rPh>
    <phoneticPr fontId="3"/>
  </si>
  <si>
    <t>BS棚卸資産</t>
  </si>
  <si>
    <t>BSその他（流動資産）</t>
    <rPh sb="6" eb="8">
      <t>リュウドウ</t>
    </rPh>
    <rPh sb="8" eb="10">
      <t>シサン</t>
    </rPh>
    <phoneticPr fontId="3"/>
  </si>
  <si>
    <t>BS徴収不能引当金（流動資産）</t>
    <rPh sb="10" eb="12">
      <t>リュウドウ</t>
    </rPh>
    <rPh sb="12" eb="14">
      <t>シサン</t>
    </rPh>
    <phoneticPr fontId="3"/>
  </si>
  <si>
    <t>BS地方債</t>
  </si>
  <si>
    <t>BS長期未払金</t>
  </si>
  <si>
    <t>BS退職手当引当金</t>
  </si>
  <si>
    <t>BS損失補償等引当金</t>
  </si>
  <si>
    <t>BSその他（固定負債）</t>
    <rPh sb="6" eb="8">
      <t>コテイ</t>
    </rPh>
    <rPh sb="8" eb="10">
      <t>フサイ</t>
    </rPh>
    <phoneticPr fontId="3"/>
  </si>
  <si>
    <t>BS１年内償還予定地方債</t>
  </si>
  <si>
    <t>BS未払金</t>
  </si>
  <si>
    <t>BS未払費用</t>
  </si>
  <si>
    <t>BS前受金</t>
  </si>
  <si>
    <t>BS前受収益</t>
  </si>
  <si>
    <t>BS賞与等引当金</t>
  </si>
  <si>
    <t>BS預り金</t>
  </si>
  <si>
    <t>BSその他（流動負債）</t>
    <rPh sb="6" eb="8">
      <t>リュウドウ</t>
    </rPh>
    <rPh sb="8" eb="10">
      <t>フサイ</t>
    </rPh>
    <phoneticPr fontId="3"/>
  </si>
  <si>
    <t>PL職員給与費</t>
  </si>
  <si>
    <t>PL賞与等引当金繰入額</t>
  </si>
  <si>
    <t>PL退職手当引当金繰入額</t>
  </si>
  <si>
    <t>PLその他（人件費）</t>
    <rPh sb="6" eb="9">
      <t>ジンケンヒ</t>
    </rPh>
    <phoneticPr fontId="3"/>
  </si>
  <si>
    <t>PL物件費</t>
  </si>
  <si>
    <t>PL維持補修費</t>
  </si>
  <si>
    <t>PL減価償却費</t>
  </si>
  <si>
    <t>PLその他（物件費）</t>
    <rPh sb="6" eb="9">
      <t>ブッケンヒ</t>
    </rPh>
    <phoneticPr fontId="3"/>
  </si>
  <si>
    <t>PL支払利息</t>
  </si>
  <si>
    <t>PL徴収不能引当金繰入額</t>
  </si>
  <si>
    <t>PLその他（その他の業務費用）</t>
    <rPh sb="8" eb="9">
      <t>タ</t>
    </rPh>
    <rPh sb="10" eb="12">
      <t>ギョウム</t>
    </rPh>
    <rPh sb="12" eb="14">
      <t>ヒヨウ</t>
    </rPh>
    <phoneticPr fontId="3"/>
  </si>
  <si>
    <t>PL補助金等</t>
  </si>
  <si>
    <t>PL社会保障給付</t>
  </si>
  <si>
    <t>PL他会計への繰出金</t>
  </si>
  <si>
    <t>PLその他（移転費用）</t>
    <rPh sb="6" eb="8">
      <t>イテン</t>
    </rPh>
    <rPh sb="8" eb="10">
      <t>ヒヨウ</t>
    </rPh>
    <phoneticPr fontId="3"/>
  </si>
  <si>
    <t>PL使用料及び手数料</t>
  </si>
  <si>
    <t>PLその他（経常収益）</t>
    <rPh sb="6" eb="8">
      <t>ケイジョウ</t>
    </rPh>
    <rPh sb="8" eb="10">
      <t>シュウエキ</t>
    </rPh>
    <phoneticPr fontId="3"/>
  </si>
  <si>
    <t>PL災害復旧事業費</t>
  </si>
  <si>
    <t>PL資産除売却損</t>
  </si>
  <si>
    <t>PL投資損失引当金繰入額</t>
  </si>
  <si>
    <t>PL損失補償等引当金繰入額</t>
  </si>
  <si>
    <t>PLその他（臨時損失）</t>
    <rPh sb="6" eb="8">
      <t>リンジ</t>
    </rPh>
    <rPh sb="8" eb="10">
      <t>ソンシツ</t>
    </rPh>
    <phoneticPr fontId="3"/>
  </si>
  <si>
    <t>PL資産売却益</t>
  </si>
  <si>
    <t>PLその他（臨時利益）</t>
    <rPh sb="6" eb="8">
      <t>リンジ</t>
    </rPh>
    <rPh sb="8" eb="10">
      <t>リエキ</t>
    </rPh>
    <phoneticPr fontId="3"/>
  </si>
  <si>
    <t>NW税収等</t>
  </si>
  <si>
    <t>NW国県等補助金</t>
  </si>
  <si>
    <t>NW資産評価差額</t>
  </si>
  <si>
    <t>NW無償所管換等</t>
  </si>
  <si>
    <t>CF人件費支出</t>
  </si>
  <si>
    <t>CF物件費等支出</t>
  </si>
  <si>
    <t>CF支払利息支出</t>
  </si>
  <si>
    <t>CFその他の支出（業務費用）</t>
    <rPh sb="9" eb="11">
      <t>ギョウム</t>
    </rPh>
    <rPh sb="11" eb="13">
      <t>ヒヨウ</t>
    </rPh>
    <phoneticPr fontId="3"/>
  </si>
  <si>
    <t>CF補助金等支出</t>
  </si>
  <si>
    <t>CF社会保障給付支出</t>
  </si>
  <si>
    <t>CF他会計への繰出支出</t>
  </si>
  <si>
    <t>CFその他の支出（移転費用）</t>
    <rPh sb="9" eb="11">
      <t>イテン</t>
    </rPh>
    <rPh sb="11" eb="13">
      <t>ヒヨウ</t>
    </rPh>
    <phoneticPr fontId="3"/>
  </si>
  <si>
    <t>CF税収等収入</t>
  </si>
  <si>
    <t>CF国県等補助金収入（業務収入）</t>
    <rPh sb="11" eb="13">
      <t>ギョウム</t>
    </rPh>
    <rPh sb="13" eb="15">
      <t>シュウニュウ</t>
    </rPh>
    <phoneticPr fontId="3"/>
  </si>
  <si>
    <t>CF使用料及び手数料収入</t>
  </si>
  <si>
    <t>CFその他の収入（業務収入）</t>
    <rPh sb="9" eb="11">
      <t>ギョウム</t>
    </rPh>
    <rPh sb="11" eb="13">
      <t>シュウニュウ</t>
    </rPh>
    <phoneticPr fontId="3"/>
  </si>
  <si>
    <t>CF災害復旧事業費支出</t>
  </si>
  <si>
    <t>CFその他の支出（臨時支出）</t>
    <rPh sb="9" eb="11">
      <t>リンジ</t>
    </rPh>
    <rPh sb="11" eb="13">
      <t>シシュツ</t>
    </rPh>
    <phoneticPr fontId="3"/>
  </si>
  <si>
    <t>CF臨時収入</t>
  </si>
  <si>
    <t>CF公共施設等整備費支出</t>
  </si>
  <si>
    <t>CF基金積立金支出</t>
  </si>
  <si>
    <t>CF投資及び出資金支出</t>
  </si>
  <si>
    <t>CF貸付金支出</t>
  </si>
  <si>
    <t>CFその他の支出（投資活動）</t>
    <rPh sb="9" eb="11">
      <t>トウシ</t>
    </rPh>
    <rPh sb="11" eb="13">
      <t>カツドウ</t>
    </rPh>
    <phoneticPr fontId="3"/>
  </si>
  <si>
    <t>CF国県等補助金収入（投資活動）</t>
    <rPh sb="11" eb="13">
      <t>トウシ</t>
    </rPh>
    <rPh sb="13" eb="15">
      <t>カツドウ</t>
    </rPh>
    <phoneticPr fontId="3"/>
  </si>
  <si>
    <t>CF基金取崩収入</t>
  </si>
  <si>
    <t>CF貸付金元金回収収入</t>
  </si>
  <si>
    <t>CF資産売却収入</t>
  </si>
  <si>
    <t>CFその他の収入（投資活動）</t>
    <rPh sb="9" eb="11">
      <t>トウシ</t>
    </rPh>
    <rPh sb="11" eb="13">
      <t>カツドウ</t>
    </rPh>
    <phoneticPr fontId="3"/>
  </si>
  <si>
    <t>CF地方債償還支出</t>
  </si>
  <si>
    <t>CFその他の支出（財務活動）</t>
    <rPh sb="9" eb="11">
      <t>ザイム</t>
    </rPh>
    <rPh sb="11" eb="13">
      <t>カツドウ</t>
    </rPh>
    <phoneticPr fontId="3"/>
  </si>
  <si>
    <t>CF地方債発行収入</t>
  </si>
  <si>
    <t>CFその他の収入（財務活動）</t>
    <rPh sb="9" eb="11">
      <t>ザイム</t>
    </rPh>
    <rPh sb="11" eb="13">
      <t>カツドウ</t>
    </rPh>
    <phoneticPr fontId="3"/>
  </si>
  <si>
    <t>CF本年度歳計外現金増減額</t>
    <rPh sb="2" eb="5">
      <t>ホンネンド</t>
    </rPh>
    <rPh sb="5" eb="7">
      <t>サイケイ</t>
    </rPh>
    <rPh sb="7" eb="8">
      <t>ガイ</t>
    </rPh>
    <rPh sb="8" eb="10">
      <t>ゲンキン</t>
    </rPh>
    <rPh sb="10" eb="12">
      <t>ゾウゲン</t>
    </rPh>
    <rPh sb="12" eb="13">
      <t>ガク</t>
    </rPh>
    <phoneticPr fontId="3"/>
  </si>
  <si>
    <t>【様式第 1号】</t>
    <rPh sb="1" eb="3">
      <t>ヨウシキ</t>
    </rPh>
    <rPh sb="3" eb="4">
      <t>ダイ</t>
    </rPh>
    <rPh sb="6" eb="7">
      <t>ゴウ</t>
    </rPh>
    <phoneticPr fontId="3"/>
  </si>
  <si>
    <t xml:space="preserve">（単位：円） </t>
    <rPh sb="1" eb="3">
      <t>タンイ</t>
    </rPh>
    <rPh sb="4" eb="5">
      <t>エン</t>
    </rPh>
    <phoneticPr fontId="3"/>
  </si>
  <si>
    <t>科目名</t>
  </si>
  <si>
    <t>金額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</si>
  <si>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</si>
  <si>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</si>
  <si>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</si>
  <si>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</si>
  <si>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</si>
  <si>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</si>
  <si>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</si>
  <si>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</si>
  <si>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</si>
  <si>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</si>
  <si>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</si>
  <si>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</si>
  <si>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</si>
  <si>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</si>
  <si>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</si>
  <si>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</si>
  <si>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</si>
  <si>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</si>
  <si>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</si>
  <si>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</si>
  <si>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</si>
  <si>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</si>
  <si>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</si>
  <si>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</si>
  <si>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</si>
  <si>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</si>
  <si>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</si>
  <si>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</si>
  <si>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</si>
  <si>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</si>
  <si>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</si>
  <si>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</si>
  <si>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</si>
  <si>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</si>
  <si>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</si>
  <si>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</si>
  <si>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</si>
  <si>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</si>
  <si>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</si>
  <si>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</si>
  <si>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</si>
  <si>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</si>
  <si>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</si>
  <si>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</si>
  <si>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</si>
  <si>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</si>
  <si>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</si>
  <si>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</si>
  <si>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</si>
  <si>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</si>
  <si>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</si>
  <si>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</si>
  <si>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</si>
  <si>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</si>
  <si>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</si>
  <si>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</si>
  <si>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</si>
  <si>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</si>
  <si>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</si>
  <si>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</si>
  <si>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</si>
  <si>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</si>
  <si>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</si>
  <si>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</si>
  <si>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</si>
  <si>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</si>
  <si>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歳入（現行制度）</t>
    <rPh sb="0" eb="2">
      <t>サイニュウ</t>
    </rPh>
    <rPh sb="3" eb="5">
      <t>ゲンコウ</t>
    </rPh>
    <rPh sb="5" eb="7">
      <t>セイド</t>
    </rPh>
    <phoneticPr fontId="3"/>
  </si>
  <si>
    <t>統一的な基準による仕訳</t>
    <rPh sb="0" eb="2">
      <t>トウイツ</t>
    </rPh>
    <rPh sb="2" eb="3">
      <t>テキ</t>
    </rPh>
    <rPh sb="4" eb="6">
      <t>キジュン</t>
    </rPh>
    <rPh sb="9" eb="11">
      <t>シワケ</t>
    </rPh>
    <phoneticPr fontId="3"/>
  </si>
  <si>
    <t>収入済額</t>
    <rPh sb="0" eb="2">
      <t>シュウニュウ</t>
    </rPh>
    <rPh sb="2" eb="3">
      <t>スミ</t>
    </rPh>
    <rPh sb="3" eb="4">
      <t>ガク</t>
    </rPh>
    <phoneticPr fontId="3"/>
  </si>
  <si>
    <t>借方科目</t>
    <rPh sb="0" eb="2">
      <t>カリカタ</t>
    </rPh>
    <rPh sb="2" eb="4">
      <t>カモク</t>
    </rPh>
    <phoneticPr fontId="3"/>
  </si>
  <si>
    <t>貸方科目</t>
    <rPh sb="0" eb="2">
      <t>カシカタ</t>
    </rPh>
    <rPh sb="2" eb="4">
      <t>カモク</t>
    </rPh>
    <phoneticPr fontId="3"/>
  </si>
  <si>
    <t>金額</t>
    <rPh sb="0" eb="2">
      <t>キンガク</t>
    </rPh>
    <phoneticPr fontId="3"/>
  </si>
  <si>
    <t>国庫支出金（業務収入）</t>
    <rPh sb="0" eb="2">
      <t>コッコ</t>
    </rPh>
    <rPh sb="2" eb="5">
      <t>シシュツキン</t>
    </rPh>
    <rPh sb="6" eb="8">
      <t>ギョウム</t>
    </rPh>
    <rPh sb="8" eb="10">
      <t>シュウニュウ</t>
    </rPh>
    <phoneticPr fontId="3"/>
  </si>
  <si>
    <t>国庫支出金（臨時収入）</t>
    <rPh sb="0" eb="2">
      <t>コッコ</t>
    </rPh>
    <rPh sb="2" eb="5">
      <t>シシュツキン</t>
    </rPh>
    <rPh sb="6" eb="8">
      <t>リンジ</t>
    </rPh>
    <rPh sb="8" eb="10">
      <t>シュウニュウ</t>
    </rPh>
    <phoneticPr fontId="3"/>
  </si>
  <si>
    <t>国庫支出金（投資収入）</t>
    <rPh sb="0" eb="2">
      <t>コッコ</t>
    </rPh>
    <rPh sb="2" eb="5">
      <t>シシュツキン</t>
    </rPh>
    <rPh sb="6" eb="8">
      <t>トウシ</t>
    </rPh>
    <rPh sb="8" eb="10">
      <t>シュウニュウ</t>
    </rPh>
    <phoneticPr fontId="3"/>
  </si>
  <si>
    <t>都道府県支出金（業務収入）</t>
    <rPh sb="0" eb="4">
      <t>トドウフケン</t>
    </rPh>
    <rPh sb="4" eb="7">
      <t>シシュツキン</t>
    </rPh>
    <rPh sb="8" eb="10">
      <t>ギョウム</t>
    </rPh>
    <rPh sb="10" eb="12">
      <t>シュウニュウ</t>
    </rPh>
    <phoneticPr fontId="3"/>
  </si>
  <si>
    <t>都道府県支出金（臨時収入）</t>
    <rPh sb="0" eb="4">
      <t>トドウフケン</t>
    </rPh>
    <rPh sb="4" eb="7">
      <t>シシュツキン</t>
    </rPh>
    <rPh sb="8" eb="10">
      <t>リンジ</t>
    </rPh>
    <rPh sb="10" eb="12">
      <t>シュウニュウ</t>
    </rPh>
    <phoneticPr fontId="3"/>
  </si>
  <si>
    <t>都道府県支出金（投資収入）</t>
    <rPh sb="0" eb="4">
      <t>トドウフケン</t>
    </rPh>
    <rPh sb="4" eb="7">
      <t>シシュツキン</t>
    </rPh>
    <rPh sb="8" eb="10">
      <t>トウシ</t>
    </rPh>
    <rPh sb="10" eb="12">
      <t>シュウニュウ</t>
    </rPh>
    <phoneticPr fontId="3"/>
  </si>
  <si>
    <t>財産収入（財産貸付収入）</t>
    <rPh sb="5" eb="7">
      <t>ザイサン</t>
    </rPh>
    <rPh sb="7" eb="9">
      <t>カシツケ</t>
    </rPh>
    <rPh sb="9" eb="11">
      <t>シュウニュウ</t>
    </rPh>
    <phoneticPr fontId="3"/>
  </si>
  <si>
    <t>財産収入（利子及び配当金）</t>
    <rPh sb="5" eb="7">
      <t>リシ</t>
    </rPh>
    <rPh sb="7" eb="8">
      <t>オヨ</t>
    </rPh>
    <rPh sb="9" eb="11">
      <t>ハイトウ</t>
    </rPh>
    <rPh sb="11" eb="12">
      <t>キン</t>
    </rPh>
    <phoneticPr fontId="3"/>
  </si>
  <si>
    <t>財産収入（固定資産売払収入）事業用土地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トチ</t>
    </rPh>
    <phoneticPr fontId="3"/>
  </si>
  <si>
    <t>財産収入（固定資産売払収入）事業用建物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19">
      <t>タテモノ</t>
    </rPh>
    <phoneticPr fontId="3"/>
  </si>
  <si>
    <t>財産収入（固定資産売払収入）事業用工作物</t>
    <rPh sb="5" eb="7">
      <t>コテイ</t>
    </rPh>
    <rPh sb="7" eb="9">
      <t>シサン</t>
    </rPh>
    <rPh sb="9" eb="11">
      <t>ウリハラ</t>
    </rPh>
    <rPh sb="11" eb="13">
      <t>シュウニュウ</t>
    </rPh>
    <rPh sb="14" eb="17">
      <t>ジギョウヨウ</t>
    </rPh>
    <rPh sb="17" eb="20">
      <t>コウサクブツ</t>
    </rPh>
    <phoneticPr fontId="3"/>
  </si>
  <si>
    <t>財産収入（固定資産売払収入）船舶</t>
    <rPh sb="5" eb="7">
      <t>コテイ</t>
    </rPh>
    <rPh sb="7" eb="9">
      <t>シサン</t>
    </rPh>
    <rPh sb="9" eb="11">
      <t>ウリハラ</t>
    </rPh>
    <rPh sb="11" eb="13">
      <t>シュウニュウ</t>
    </rPh>
    <rPh sb="14" eb="16">
      <t>センパク</t>
    </rPh>
    <phoneticPr fontId="3"/>
  </si>
  <si>
    <t>財産収入（固定資産売払収入）浮標等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</si>
  <si>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財産収入（固定資産売払収入）航空機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</si>
  <si>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財産収入（固定資産売払収入）事業用資産その他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</si>
  <si>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財産収入（固定資産売払収入）インフラ土地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</si>
  <si>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BSインフラ土地</t>
    <phoneticPr fontId="3"/>
  </si>
  <si>
    <t>財産収入（固定資産売払収入）インフラ建物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</si>
  <si>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BSインフラ建物</t>
    <phoneticPr fontId="3"/>
  </si>
  <si>
    <t>財産収入（固定資産売払収入）インフラ工作物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</si>
  <si>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BSインフラ工作物</t>
    <phoneticPr fontId="3"/>
  </si>
  <si>
    <t>財産収入（固定資産売払収入）インフラその他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</si>
  <si>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BSインフラその他</t>
    <phoneticPr fontId="3"/>
  </si>
  <si>
    <t>財産収入（固定資産売払収入）物品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</si>
  <si>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財産収入（固定資産売払収入）ソフトウェア</t>
    <rPh sb="5" eb="7">
      <t>コテイ</t>
    </rPh>
    <rPh sb="7" eb="9">
      <t>シサン</t>
    </rPh>
    <rPh sb="9" eb="11">
      <t>ウリハラ</t>
    </rPh>
    <rPh sb="11" eb="13">
      <t>シュウニュウ</t>
    </rPh>
    <phoneticPr fontId="3"/>
  </si>
  <si>
    <t>寄付金</t>
    <rPh sb="0" eb="3">
      <t>キフキン</t>
    </rPh>
    <phoneticPr fontId="3"/>
  </si>
  <si>
    <t>繰入金（特別会計繰入金）</t>
    <rPh sb="4" eb="6">
      <t>トクベツ</t>
    </rPh>
    <rPh sb="6" eb="8">
      <t>カイケイ</t>
    </rPh>
    <rPh sb="8" eb="10">
      <t>クリイレ</t>
    </rPh>
    <rPh sb="10" eb="11">
      <t>キン</t>
    </rPh>
    <phoneticPr fontId="3"/>
  </si>
  <si>
    <t>繰入金（基金繰入金）財政調整基金</t>
    <rPh sb="4" eb="6">
      <t>キキン</t>
    </rPh>
    <rPh sb="6" eb="8">
      <t>クリイレ</t>
    </rPh>
    <rPh sb="8" eb="9">
      <t>キン</t>
    </rPh>
    <phoneticPr fontId="3"/>
  </si>
  <si>
    <t>繰入金（基金繰入金）減債基金（固定資産）</t>
    <rPh sb="4" eb="6">
      <t>キキン</t>
    </rPh>
    <rPh sb="6" eb="8">
      <t>クリイレ</t>
    </rPh>
    <rPh sb="8" eb="9">
      <t>キン</t>
    </rPh>
    <phoneticPr fontId="3"/>
  </si>
  <si>
    <t>繰入金（基金繰入金）減債基金（流動資産）</t>
    <rPh sb="4" eb="6">
      <t>キキン</t>
    </rPh>
    <rPh sb="6" eb="8">
      <t>クリイレ</t>
    </rPh>
    <rPh sb="8" eb="9">
      <t>キン</t>
    </rPh>
    <phoneticPr fontId="3"/>
  </si>
  <si>
    <t>繰入金（基金繰入金）その他（基金）</t>
    <rPh sb="4" eb="6">
      <t>キキン</t>
    </rPh>
    <rPh sb="6" eb="8">
      <t>クリイレ</t>
    </rPh>
    <rPh sb="8" eb="9">
      <t>キン</t>
    </rPh>
    <phoneticPr fontId="3"/>
  </si>
  <si>
    <t>繰越金</t>
    <rPh sb="0" eb="3">
      <t>クリコシキン</t>
    </rPh>
    <phoneticPr fontId="3"/>
  </si>
  <si>
    <t>【仕訳不要】</t>
    <rPh sb="1" eb="3">
      <t>シワケ</t>
    </rPh>
    <rPh sb="3" eb="5">
      <t>フヨウ</t>
    </rPh>
    <phoneticPr fontId="3"/>
  </si>
  <si>
    <t>諸収入（延滞金、加算金及び過料等）</t>
    <rPh sb="4" eb="7">
      <t>エンタイキン</t>
    </rPh>
    <rPh sb="8" eb="11">
      <t>カサンキン</t>
    </rPh>
    <rPh sb="11" eb="12">
      <t>オヨ</t>
    </rPh>
    <rPh sb="13" eb="15">
      <t>カリョウ</t>
    </rPh>
    <rPh sb="15" eb="16">
      <t>トウ</t>
    </rPh>
    <phoneticPr fontId="3"/>
  </si>
  <si>
    <t>諸収入（雑入）</t>
    <rPh sb="4" eb="6">
      <t>ザツニュウ</t>
    </rPh>
    <phoneticPr fontId="3"/>
  </si>
  <si>
    <t>合計</t>
    <rPh sb="0" eb="2">
      <t>ゴウケイ</t>
    </rPh>
    <phoneticPr fontId="3"/>
  </si>
  <si>
    <t>繰越金現金預金　仕訳不要分</t>
    <rPh sb="0" eb="2">
      <t>クリコシ</t>
    </rPh>
    <rPh sb="2" eb="3">
      <t>キン</t>
    </rPh>
    <rPh sb="3" eb="5">
      <t>ゲンキン</t>
    </rPh>
    <rPh sb="5" eb="7">
      <t>ヨキン</t>
    </rPh>
    <rPh sb="8" eb="10">
      <t>シワケ</t>
    </rPh>
    <rPh sb="10" eb="12">
      <t>フヨウ</t>
    </rPh>
    <rPh sb="12" eb="13">
      <t>ブン</t>
    </rPh>
    <phoneticPr fontId="3"/>
  </si>
  <si>
    <t>検算（仕訳合計－歳出合計－繰越金）</t>
    <rPh sb="0" eb="2">
      <t>ケンザン</t>
    </rPh>
    <rPh sb="3" eb="5">
      <t>シワケ</t>
    </rPh>
    <rPh sb="5" eb="7">
      <t>ゴウケイ</t>
    </rPh>
    <rPh sb="8" eb="10">
      <t>サイシュツ</t>
    </rPh>
    <rPh sb="10" eb="12">
      <t>ゴウケイ</t>
    </rPh>
    <rPh sb="13" eb="15">
      <t>クリコシ</t>
    </rPh>
    <rPh sb="15" eb="16">
      <t>キン</t>
    </rPh>
    <phoneticPr fontId="3"/>
  </si>
  <si>
    <t>検算</t>
    <rPh sb="0" eb="2">
      <t>ケンザン</t>
    </rPh>
    <phoneticPr fontId="3"/>
  </si>
  <si>
    <t>款</t>
    <rPh sb="0" eb="1">
      <t>カン</t>
    </rPh>
    <phoneticPr fontId="1"/>
  </si>
  <si>
    <t>歳出</t>
    <rPh sb="0" eb="2">
      <t>サイシュツ</t>
    </rPh>
    <phoneticPr fontId="3"/>
  </si>
  <si>
    <t>集計</t>
    <rPh sb="0" eb="2">
      <t>シュウケイ</t>
    </rPh>
    <phoneticPr fontId="3"/>
  </si>
  <si>
    <t>款・項・目</t>
    <rPh sb="0" eb="1">
      <t>カン</t>
    </rPh>
    <rPh sb="2" eb="3">
      <t>コウ</t>
    </rPh>
    <rPh sb="4" eb="5">
      <t>メ</t>
    </rPh>
    <phoneticPr fontId="3"/>
  </si>
  <si>
    <t>借方</t>
    <rPh sb="0" eb="2">
      <t>カリカタ</t>
    </rPh>
    <phoneticPr fontId="3"/>
  </si>
  <si>
    <t>貸方</t>
    <rPh sb="0" eb="2">
      <t>カシカタ</t>
    </rPh>
    <phoneticPr fontId="3"/>
  </si>
  <si>
    <t>節</t>
    <rPh sb="0" eb="1">
      <t>セツ</t>
    </rPh>
    <phoneticPr fontId="3"/>
  </si>
  <si>
    <t>名　　　　　称</t>
    <rPh sb="0" eb="1">
      <t>ナ</t>
    </rPh>
    <rPh sb="6" eb="7">
      <t>ショウ</t>
    </rPh>
    <phoneticPr fontId="3"/>
  </si>
  <si>
    <t>報酬</t>
    <rPh sb="0" eb="2">
      <t>ホウシュウ</t>
    </rPh>
    <phoneticPr fontId="3"/>
  </si>
  <si>
    <t>給料</t>
    <rPh sb="0" eb="2">
      <t>キュウリョウ</t>
    </rPh>
    <phoneticPr fontId="3"/>
  </si>
  <si>
    <t>職員手当等</t>
    <rPh sb="0" eb="2">
      <t>ショクイン</t>
    </rPh>
    <rPh sb="2" eb="4">
      <t>テアテ</t>
    </rPh>
    <rPh sb="4" eb="5">
      <t>トウ</t>
    </rPh>
    <phoneticPr fontId="3"/>
  </si>
  <si>
    <t>共済費</t>
    <rPh sb="0" eb="2">
      <t>キョウサイ</t>
    </rPh>
    <rPh sb="2" eb="3">
      <t>ヒ</t>
    </rPh>
    <phoneticPr fontId="3"/>
  </si>
  <si>
    <t>災害補償費</t>
    <rPh sb="0" eb="2">
      <t>サイガイ</t>
    </rPh>
    <rPh sb="2" eb="5">
      <t>ホショウヒ</t>
    </rPh>
    <phoneticPr fontId="3"/>
  </si>
  <si>
    <t>恩給及び退職年金</t>
    <rPh sb="0" eb="2">
      <t>オンキュウ</t>
    </rPh>
    <rPh sb="2" eb="3">
      <t>オヨ</t>
    </rPh>
    <rPh sb="4" eb="6">
      <t>タイショク</t>
    </rPh>
    <rPh sb="6" eb="8">
      <t>ネンキン</t>
    </rPh>
    <phoneticPr fontId="3"/>
  </si>
  <si>
    <t>賃金</t>
    <rPh sb="0" eb="2">
      <t>チンギン</t>
    </rPh>
    <phoneticPr fontId="3"/>
  </si>
  <si>
    <t>人件費に計上されるもの</t>
    <rPh sb="0" eb="3">
      <t>ジンケンヒ</t>
    </rPh>
    <rPh sb="4" eb="6">
      <t>ケイジョウ</t>
    </rPh>
    <phoneticPr fontId="3"/>
  </si>
  <si>
    <t>上記以外</t>
    <rPh sb="0" eb="2">
      <t>ジョウキ</t>
    </rPh>
    <rPh sb="2" eb="4">
      <t>イガイ</t>
    </rPh>
    <phoneticPr fontId="3"/>
  </si>
  <si>
    <t>報償費</t>
    <rPh sb="0" eb="2">
      <t>ホウショウ</t>
    </rPh>
    <rPh sb="2" eb="3">
      <t>ヒ</t>
    </rPh>
    <phoneticPr fontId="3"/>
  </si>
  <si>
    <t>旅費</t>
    <rPh sb="0" eb="2">
      <t>リョヒ</t>
    </rPh>
    <phoneticPr fontId="3"/>
  </si>
  <si>
    <t>交際費</t>
    <rPh sb="0" eb="3">
      <t>コウサイヒ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</si>
  <si>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</si>
  <si>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</si>
  <si>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</si>
  <si>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資産形成以外</t>
    <rPh sb="0" eb="2">
      <t>シサン</t>
    </rPh>
    <rPh sb="2" eb="4">
      <t>ケイセイ</t>
    </rPh>
    <rPh sb="4" eb="6">
      <t>イガイ</t>
    </rPh>
    <phoneticPr fontId="3"/>
  </si>
  <si>
    <t>資産形成</t>
    <rPh sb="0" eb="2">
      <t>シサン</t>
    </rPh>
    <rPh sb="2" eb="4">
      <t>ケイセイ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</si>
  <si>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</si>
  <si>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</si>
  <si>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原材料費</t>
    <rPh sb="0" eb="1">
      <t>ゲン</t>
    </rPh>
    <rPh sb="1" eb="4">
      <t>ザイリョウヒ</t>
    </rPh>
    <phoneticPr fontId="3"/>
  </si>
  <si>
    <t>物件費に計上されるもの</t>
    <rPh sb="0" eb="3">
      <t>ブッケンヒ</t>
    </rPh>
    <rPh sb="4" eb="6">
      <t>ケイジョウ</t>
    </rPh>
    <phoneticPr fontId="3"/>
  </si>
  <si>
    <t>公有財産購入費</t>
    <rPh sb="0" eb="2">
      <t>コウユウ</t>
    </rPh>
    <rPh sb="2" eb="4">
      <t>ザイサン</t>
    </rPh>
    <rPh sb="4" eb="6">
      <t>コウニュウ</t>
    </rPh>
    <rPh sb="6" eb="7">
      <t>ヒ</t>
    </rPh>
    <phoneticPr fontId="3"/>
  </si>
  <si>
    <t>備品購入費</t>
    <rPh sb="0" eb="2">
      <t>ビヒン</t>
    </rPh>
    <rPh sb="2" eb="5">
      <t>コウニュウヒ</t>
    </rPh>
    <phoneticPr fontId="3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</si>
  <si>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3"/>
  </si>
  <si>
    <t>扶助費</t>
    <rPh sb="0" eb="3">
      <t>フジョヒ</t>
    </rPh>
    <phoneticPr fontId="3"/>
  </si>
  <si>
    <t>貸付金</t>
    <rPh sb="0" eb="2">
      <t>カシツケ</t>
    </rPh>
    <rPh sb="2" eb="3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</si>
  <si>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</si>
  <si>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</si>
  <si>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補償、補填及び賠償金</t>
    <rPh sb="0" eb="2">
      <t>ホショウ</t>
    </rPh>
    <rPh sb="3" eb="5">
      <t>ホテン</t>
    </rPh>
    <rPh sb="5" eb="6">
      <t>オヨ</t>
    </rPh>
    <rPh sb="7" eb="10">
      <t>バイショウキン</t>
    </rPh>
    <phoneticPr fontId="3"/>
  </si>
  <si>
    <t>償還金、利子及び割引料</t>
    <rPh sb="0" eb="3">
      <t>ショウカンキン</t>
    </rPh>
    <rPh sb="4" eb="6">
      <t>リシ</t>
    </rPh>
    <rPh sb="6" eb="7">
      <t>オヨ</t>
    </rPh>
    <rPh sb="8" eb="10">
      <t>ワリビキ</t>
    </rPh>
    <rPh sb="10" eb="11">
      <t>リョウ</t>
    </rPh>
    <phoneticPr fontId="3"/>
  </si>
  <si>
    <t>償還金元金</t>
    <rPh sb="0" eb="3">
      <t>ショウカンキン</t>
    </rPh>
    <rPh sb="3" eb="5">
      <t>ガンキン</t>
    </rPh>
    <phoneticPr fontId="3"/>
  </si>
  <si>
    <t>償還金利子</t>
    <rPh sb="0" eb="3">
      <t>ショウカンキン</t>
    </rPh>
    <rPh sb="3" eb="5">
      <t>リシ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</si>
  <si>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</si>
  <si>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積立金</t>
    <rPh sb="0" eb="2">
      <t>ツミタテ</t>
    </rPh>
    <rPh sb="2" eb="3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</si>
  <si>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</si>
  <si>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減債基金固定</t>
    <rPh sb="0" eb="2">
      <t>ゲンサイ</t>
    </rPh>
    <rPh sb="2" eb="4">
      <t>キキン</t>
    </rPh>
    <rPh sb="4" eb="6">
      <t>コテイ</t>
    </rPh>
    <phoneticPr fontId="3"/>
  </si>
  <si>
    <t>減債基金流動</t>
    <rPh sb="0" eb="2">
      <t>ゲンサイ</t>
    </rPh>
    <rPh sb="2" eb="4">
      <t>キキン</t>
    </rPh>
    <rPh sb="4" eb="6">
      <t>リュウドウ</t>
    </rPh>
    <phoneticPr fontId="3"/>
  </si>
  <si>
    <t>その他基金</t>
    <rPh sb="2" eb="3">
      <t>タ</t>
    </rPh>
    <rPh sb="3" eb="5">
      <t>キキン</t>
    </rPh>
    <phoneticPr fontId="3"/>
  </si>
  <si>
    <t>公課費</t>
    <rPh sb="0" eb="1">
      <t>コウ</t>
    </rPh>
    <rPh sb="1" eb="2">
      <t>カ</t>
    </rPh>
    <rPh sb="2" eb="3">
      <t>ヒ</t>
    </rPh>
    <phoneticPr fontId="3"/>
  </si>
  <si>
    <t>繰出金</t>
    <rPh sb="0" eb="2">
      <t>クリダ</t>
    </rPh>
    <rPh sb="2" eb="3">
      <t>キン</t>
    </rPh>
    <phoneticPr fontId="3"/>
  </si>
  <si>
    <t>合　計　</t>
    <rPh sb="0" eb="1">
      <t>ア</t>
    </rPh>
    <rPh sb="2" eb="3">
      <t>ケイ</t>
    </rPh>
    <phoneticPr fontId="3"/>
  </si>
  <si>
    <t>都道府県税、市町村税</t>
    <phoneticPr fontId="1"/>
  </si>
  <si>
    <t>地方消費税精算金</t>
  </si>
  <si>
    <t>地方譲与税</t>
    <phoneticPr fontId="1"/>
  </si>
  <si>
    <t>税交付金</t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</si>
  <si>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</si>
  <si>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</si>
  <si>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</si>
  <si>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</si>
  <si>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科目（決算書）</t>
    <rPh sb="0" eb="2">
      <t>カモク</t>
    </rPh>
    <rPh sb="3" eb="6">
      <t>ケッサンショ</t>
    </rPh>
    <phoneticPr fontId="3"/>
  </si>
  <si>
    <t>地方特例交付金</t>
    <phoneticPr fontId="1"/>
  </si>
  <si>
    <t>地方交付税</t>
    <rPh sb="0" eb="5">
      <t>チホウコウフゼイ</t>
    </rPh>
    <phoneticPr fontId="1"/>
  </si>
  <si>
    <t>交通安全対策特別交付金</t>
    <phoneticPr fontId="1"/>
  </si>
  <si>
    <t>分担金及び負担金</t>
    <phoneticPr fontId="1"/>
  </si>
  <si>
    <t>使用料及び手数料</t>
  </si>
  <si>
    <t>財産収入（固定資産売払収入）有価証券</t>
    <rPh sb="5" eb="7">
      <t>コテイ</t>
    </rPh>
    <rPh sb="7" eb="9">
      <t>シサン</t>
    </rPh>
    <rPh sb="9" eb="11">
      <t>ウリハラ</t>
    </rPh>
    <rPh sb="11" eb="13">
      <t>シュウニュウ</t>
    </rPh>
    <rPh sb="14" eb="18">
      <t>ユウカショウケン</t>
    </rPh>
    <phoneticPr fontId="3"/>
  </si>
  <si>
    <t>財産収入（財産売払収入）※固定資産台帳記載なし</t>
    <rPh sb="5" eb="7">
      <t>ザイサン</t>
    </rPh>
    <phoneticPr fontId="3"/>
  </si>
  <si>
    <t>寄付金</t>
    <rPh sb="0" eb="3">
      <t>キフキン</t>
    </rPh>
    <phoneticPr fontId="1"/>
  </si>
  <si>
    <t>財産区繰入金</t>
  </si>
  <si>
    <t>繰越金</t>
    <rPh sb="0" eb="3">
      <t>クリコシキン</t>
    </rPh>
    <phoneticPr fontId="1"/>
  </si>
  <si>
    <t>【仕訳不要】</t>
    <phoneticPr fontId="1"/>
  </si>
  <si>
    <t>諸収入（貸付金元金収入（短期））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</si>
  <si>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諸収入（貸付金元金収入（長期））</t>
    <rPh sb="4" eb="6">
      <t>カシツケ</t>
    </rPh>
    <rPh sb="6" eb="7">
      <t>キン</t>
    </rPh>
    <rPh sb="7" eb="9">
      <t>ガンキン</t>
    </rPh>
    <rPh sb="9" eb="11">
      <t>シュウニュウ</t>
    </rPh>
    <phoneticPr fontId="3"/>
  </si>
  <si>
    <t>地方債</t>
    <rPh sb="0" eb="3">
      <t>チホウサイ</t>
    </rPh>
    <phoneticPr fontId="1"/>
  </si>
  <si>
    <t>（特別会計に固有の科目）</t>
    <phoneticPr fontId="1"/>
  </si>
  <si>
    <t>国民健康保険料</t>
    <phoneticPr fontId="1"/>
  </si>
  <si>
    <t>国民健康保険税</t>
    <phoneticPr fontId="1"/>
  </si>
  <si>
    <t>介護保険料</t>
    <phoneticPr fontId="1"/>
  </si>
  <si>
    <t>療養給付費等交付金</t>
    <phoneticPr fontId="1"/>
  </si>
  <si>
    <t>連合会支出金</t>
    <rPh sb="0" eb="2">
      <t>レンゴウ</t>
    </rPh>
    <phoneticPr fontId="1"/>
  </si>
  <si>
    <t>共同事業交付金</t>
    <phoneticPr fontId="1"/>
  </si>
  <si>
    <t>支払基金交付金</t>
    <phoneticPr fontId="1"/>
  </si>
  <si>
    <t>共済掛金及び交付金</t>
    <phoneticPr fontId="1"/>
  </si>
  <si>
    <t>保険金</t>
    <phoneticPr fontId="1"/>
  </si>
  <si>
    <t>連合会特別交付金</t>
    <phoneticPr fontId="1"/>
  </si>
  <si>
    <t>保険金及び診療補填金</t>
    <phoneticPr fontId="1"/>
  </si>
  <si>
    <t>診療収入</t>
    <phoneticPr fontId="1"/>
  </si>
  <si>
    <t>賦課金</t>
    <phoneticPr fontId="1"/>
  </si>
  <si>
    <t>勘定科目</t>
    <rPh sb="0" eb="2">
      <t>カンジョウ</t>
    </rPh>
    <rPh sb="2" eb="4">
      <t>カモク</t>
    </rPh>
    <phoneticPr fontId="1"/>
  </si>
  <si>
    <t>BS長期貸付金</t>
    <phoneticPr fontId="1"/>
  </si>
  <si>
    <t>BS短期貸付金</t>
    <phoneticPr fontId="1"/>
  </si>
  <si>
    <t>諸収入（都道府県・市町村預金利子）</t>
    <phoneticPr fontId="3"/>
  </si>
  <si>
    <t>諸収入（受託事業収入）</t>
    <phoneticPr fontId="3"/>
  </si>
  <si>
    <t>諸収入（収益事業収入）</t>
    <phoneticPr fontId="3"/>
  </si>
  <si>
    <t>諸収入（利子割精算金収入）</t>
    <phoneticPr fontId="3"/>
  </si>
  <si>
    <t>諸収入（借入金）</t>
    <rPh sb="4" eb="7">
      <t>カリイレキン</t>
    </rPh>
    <phoneticPr fontId="3"/>
  </si>
  <si>
    <t>諸収入（貸付金利息額）</t>
    <rPh sb="4" eb="6">
      <t>カシツケ</t>
    </rPh>
    <rPh sb="6" eb="7">
      <t>キン</t>
    </rPh>
    <rPh sb="7" eb="9">
      <t>リソク</t>
    </rPh>
    <rPh sb="9" eb="10">
      <t>ガク</t>
    </rPh>
    <phoneticPr fontId="3"/>
  </si>
  <si>
    <t>歳入_予算科目</t>
    <rPh sb="0" eb="2">
      <t>サイニュウ</t>
    </rPh>
    <rPh sb="3" eb="5">
      <t>ヨサン</t>
    </rPh>
    <rPh sb="5" eb="7">
      <t>カモク</t>
    </rPh>
    <phoneticPr fontId="1"/>
  </si>
  <si>
    <t>歳出_予算科目</t>
    <rPh sb="0" eb="2">
      <t>サイシュツ</t>
    </rPh>
    <rPh sb="3" eb="7">
      <t>ヨサンカモク</t>
    </rPh>
    <phoneticPr fontId="1"/>
  </si>
  <si>
    <t>歳出（現行制度）</t>
    <rPh sb="0" eb="2">
      <t>サイシュツ</t>
    </rPh>
    <phoneticPr fontId="3"/>
  </si>
  <si>
    <t>分担金及び負担金</t>
  </si>
  <si>
    <t>諸収入（都道府県・市町村預金利子）</t>
  </si>
  <si>
    <t>合計</t>
  </si>
  <si>
    <t>固定資産等形成分</t>
  </si>
  <si>
    <t>余剰分(不足分)</t>
  </si>
  <si>
    <t>有形固定資産等の減少</t>
  </si>
  <si>
    <t xml:space="preserve">  本年度純資産変動額</t>
  </si>
  <si>
    <t>固定資産の変動（内部変動）</t>
    <rPh sb="0" eb="2">
      <t>コテイ</t>
    </rPh>
    <rPh sb="2" eb="4">
      <t>シサン</t>
    </rPh>
    <rPh sb="5" eb="7">
      <t>ヘンドウ</t>
    </rPh>
    <rPh sb="8" eb="10">
      <t>ナイブ</t>
    </rPh>
    <rPh sb="10" eb="12">
      <t>ヘンドウ</t>
    </rPh>
    <phoneticPr fontId="3"/>
  </si>
  <si>
    <t>摘要</t>
    <rPh sb="0" eb="2">
      <t>テキヨウ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</si>
  <si>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3"/>
  </si>
  <si>
    <t>リース資産取得</t>
    <rPh sb="3" eb="5">
      <t>シサン</t>
    </rPh>
    <rPh sb="5" eb="7">
      <t>シュトク</t>
    </rPh>
    <phoneticPr fontId="3"/>
  </si>
  <si>
    <t>有形固定資産等の増加　計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rPh sb="11" eb="12">
      <t>ケイ</t>
    </rPh>
    <phoneticPr fontId="3"/>
  </si>
  <si>
    <t>資産除売却による減少</t>
    <rPh sb="0" eb="2">
      <t>シサン</t>
    </rPh>
    <rPh sb="2" eb="3">
      <t>ジョ</t>
    </rPh>
    <rPh sb="3" eb="5">
      <t>バイキャク</t>
    </rPh>
    <rPh sb="8" eb="10">
      <t>ゲンショウ</t>
    </rPh>
    <phoneticPr fontId="3"/>
  </si>
  <si>
    <t>有形固定資産等の減少　計</t>
    <rPh sb="0" eb="2">
      <t>ユウケイ</t>
    </rPh>
    <rPh sb="2" eb="4">
      <t>コテイ</t>
    </rPh>
    <rPh sb="4" eb="6">
      <t>シサン</t>
    </rPh>
    <rPh sb="6" eb="7">
      <t>トウ</t>
    </rPh>
    <rPh sb="8" eb="10">
      <t>ゲンショウ</t>
    </rPh>
    <rPh sb="11" eb="12">
      <t>ケイ</t>
    </rPh>
    <phoneticPr fontId="3"/>
  </si>
  <si>
    <t>貸付金・基金等の増加</t>
    <phoneticPr fontId="3"/>
  </si>
  <si>
    <t>貸付金・基金等の増加　計</t>
    <rPh sb="11" eb="12">
      <t>ケイ</t>
    </rPh>
    <phoneticPr fontId="3"/>
  </si>
  <si>
    <t>貸付金・基金等の減少</t>
    <phoneticPr fontId="3"/>
  </si>
  <si>
    <t>貸付金・基金等の減少　計</t>
    <rPh sb="11" eb="12">
      <t>ケイ</t>
    </rPh>
    <phoneticPr fontId="3"/>
  </si>
  <si>
    <t>①合計</t>
    <rPh sb="1" eb="3">
      <t>ゴウケイ</t>
    </rPh>
    <phoneticPr fontId="3"/>
  </si>
  <si>
    <t>資産評価差額</t>
    <phoneticPr fontId="3"/>
  </si>
  <si>
    <t>有価証券等の評価差額</t>
    <rPh sb="0" eb="2">
      <t>ユウカ</t>
    </rPh>
    <rPh sb="2" eb="4">
      <t>ショウケン</t>
    </rPh>
    <rPh sb="4" eb="5">
      <t>トウ</t>
    </rPh>
    <rPh sb="6" eb="8">
      <t>ヒョウカ</t>
    </rPh>
    <rPh sb="8" eb="10">
      <t>サガク</t>
    </rPh>
    <phoneticPr fontId="3"/>
  </si>
  <si>
    <t>資産評価差額　計</t>
    <rPh sb="7" eb="8">
      <t>ケイ</t>
    </rPh>
    <phoneticPr fontId="3"/>
  </si>
  <si>
    <t>無償所管換等</t>
    <phoneticPr fontId="3"/>
  </si>
  <si>
    <t>無償で譲渡または取得した固定資産の評価額</t>
    <rPh sb="0" eb="2">
      <t>ムショウ</t>
    </rPh>
    <rPh sb="3" eb="5">
      <t>ジョウト</t>
    </rPh>
    <rPh sb="8" eb="10">
      <t>シュトク</t>
    </rPh>
    <rPh sb="12" eb="14">
      <t>コテイ</t>
    </rPh>
    <rPh sb="14" eb="16">
      <t>シサン</t>
    </rPh>
    <rPh sb="17" eb="20">
      <t>ヒョウカガク</t>
    </rPh>
    <phoneticPr fontId="3"/>
  </si>
  <si>
    <t>無償所管換等　計</t>
    <rPh sb="7" eb="8">
      <t>ケイ</t>
    </rPh>
    <phoneticPr fontId="3"/>
  </si>
  <si>
    <t>その他</t>
    <rPh sb="2" eb="3">
      <t>タ</t>
    </rPh>
    <phoneticPr fontId="3"/>
  </si>
  <si>
    <t>その他　計</t>
    <rPh sb="2" eb="3">
      <t>タ</t>
    </rPh>
    <rPh sb="4" eb="5">
      <t>ケイ</t>
    </rPh>
    <phoneticPr fontId="3"/>
  </si>
  <si>
    <t>②合計</t>
    <rPh sb="1" eb="3">
      <t>ゴウケイ</t>
    </rPh>
    <phoneticPr fontId="3"/>
  </si>
  <si>
    <t>①+②合計</t>
    <rPh sb="3" eb="5">
      <t>ゴウケイ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</si>
  <si>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</si>
  <si>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</si>
  <si>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</si>
  <si>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1"/>
  </si>
  <si>
    <t>支出済額</t>
    <rPh sb="0" eb="2">
      <t>シシュツ</t>
    </rPh>
    <rPh sb="2" eb="3">
      <t>スミ</t>
    </rPh>
    <rPh sb="3" eb="4">
      <t>ガク</t>
    </rPh>
    <phoneticPr fontId="3"/>
  </si>
  <si>
    <t>振替後の科目</t>
    <rPh sb="0" eb="2">
      <t>フリカエ</t>
    </rPh>
    <rPh sb="2" eb="3">
      <t>ゴ</t>
    </rPh>
    <rPh sb="4" eb="6">
      <t>カモク</t>
    </rPh>
    <phoneticPr fontId="3"/>
  </si>
  <si>
    <t>資産配分額</t>
    <rPh sb="0" eb="2">
      <t>シサン</t>
    </rPh>
    <rPh sb="2" eb="4">
      <t>ハイブン</t>
    </rPh>
    <rPh sb="4" eb="5">
      <t>ガク</t>
    </rPh>
    <phoneticPr fontId="3"/>
  </si>
  <si>
    <t>備考</t>
    <rPh sb="0" eb="2">
      <t>ビコウ</t>
    </rPh>
    <phoneticPr fontId="3"/>
  </si>
  <si>
    <t>勘定科目</t>
    <rPh sb="0" eb="2">
      <t>カンジョウ</t>
    </rPh>
    <rPh sb="2" eb="4">
      <t>カモク</t>
    </rPh>
    <phoneticPr fontId="3"/>
  </si>
  <si>
    <t>集計表</t>
    <rPh sb="0" eb="2">
      <t>シュウケイ</t>
    </rPh>
    <rPh sb="2" eb="3">
      <t>ヒョウ</t>
    </rPh>
    <phoneticPr fontId="3"/>
  </si>
  <si>
    <t>決算整理仕訳</t>
    <rPh sb="0" eb="2">
      <t>ケッサン</t>
    </rPh>
    <rPh sb="2" eb="4">
      <t>セイリ</t>
    </rPh>
    <rPh sb="4" eb="6">
      <t>シワケ</t>
    </rPh>
    <phoneticPr fontId="3"/>
  </si>
  <si>
    <t>借方勘定科目</t>
    <rPh sb="0" eb="2">
      <t>カリカタ</t>
    </rPh>
    <rPh sb="2" eb="4">
      <t>カンジョウ</t>
    </rPh>
    <rPh sb="4" eb="6">
      <t>カモク</t>
    </rPh>
    <phoneticPr fontId="3"/>
  </si>
  <si>
    <t>貸方勘定科目</t>
    <rPh sb="0" eb="2">
      <t>カシカタ</t>
    </rPh>
    <rPh sb="2" eb="4">
      <t>カンジョウ</t>
    </rPh>
    <rPh sb="4" eb="6">
      <t>カモク</t>
    </rPh>
    <phoneticPr fontId="3"/>
  </si>
  <si>
    <t>行摘要</t>
    <rPh sb="0" eb="1">
      <t>ギョウ</t>
    </rPh>
    <rPh sb="1" eb="3">
      <t>テキヨウ</t>
    </rPh>
    <phoneticPr fontId="3"/>
  </si>
  <si>
    <t>資産売却</t>
    <rPh sb="0" eb="2">
      <t>シサン</t>
    </rPh>
    <rPh sb="2" eb="4">
      <t>バイキャク</t>
    </rPh>
    <phoneticPr fontId="3"/>
  </si>
  <si>
    <t>売却益の場合（売却額－簿価）</t>
    <rPh sb="0" eb="3">
      <t>バイキャクエキ</t>
    </rPh>
    <rPh sb="4" eb="6">
      <t>バアイ</t>
    </rPh>
    <rPh sb="7" eb="9">
      <t>バイキャク</t>
    </rPh>
    <rPh sb="9" eb="10">
      <t>ガク</t>
    </rPh>
    <rPh sb="11" eb="13">
      <t>ボカ</t>
    </rPh>
    <phoneticPr fontId="3"/>
  </si>
  <si>
    <t>売却損の場合（簿価－売却額）</t>
    <rPh sb="0" eb="3">
      <t>バイキャクソン</t>
    </rPh>
    <rPh sb="4" eb="6">
      <t>バアイ</t>
    </rPh>
    <rPh sb="7" eb="9">
      <t>ボカ</t>
    </rPh>
    <phoneticPr fontId="3"/>
  </si>
  <si>
    <t>売却資産の減価償却累計額の取消</t>
    <rPh sb="0" eb="2">
      <t>バイキャク</t>
    </rPh>
    <rPh sb="2" eb="4">
      <t>シサン</t>
    </rPh>
    <rPh sb="5" eb="7">
      <t>ゲンカ</t>
    </rPh>
    <rPh sb="7" eb="9">
      <t>ショウキャク</t>
    </rPh>
    <rPh sb="9" eb="12">
      <t>ルイケイガク</t>
    </rPh>
    <rPh sb="13" eb="14">
      <t>ト</t>
    </rPh>
    <rPh sb="14" eb="15">
      <t>ケ</t>
    </rPh>
    <phoneticPr fontId="3"/>
  </si>
  <si>
    <t>土地の取得等</t>
    <rPh sb="0" eb="2">
      <t>トチ</t>
    </rPh>
    <rPh sb="3" eb="5">
      <t>シュトク</t>
    </rPh>
    <rPh sb="5" eb="6">
      <t>トウ</t>
    </rPh>
    <phoneticPr fontId="3"/>
  </si>
  <si>
    <t>BS立木竹</t>
    <phoneticPr fontId="3"/>
  </si>
  <si>
    <t>立木竹の取得等</t>
    <phoneticPr fontId="3"/>
  </si>
  <si>
    <t>事業用建物の取得等</t>
    <phoneticPr fontId="3"/>
  </si>
  <si>
    <t>事業用工作物の取得等</t>
    <phoneticPr fontId="3"/>
  </si>
  <si>
    <t>浮標等の取得等</t>
    <phoneticPr fontId="3"/>
  </si>
  <si>
    <t>航空機の取得等</t>
    <phoneticPr fontId="3"/>
  </si>
  <si>
    <t>事業用資産その他の取得等</t>
    <phoneticPr fontId="3"/>
  </si>
  <si>
    <t>事業用建設仮勘定の取得等</t>
    <phoneticPr fontId="3"/>
  </si>
  <si>
    <t>インフラ土地の取得等</t>
    <rPh sb="4" eb="6">
      <t>トチ</t>
    </rPh>
    <phoneticPr fontId="3"/>
  </si>
  <si>
    <t>インフラ建物の取得等</t>
    <phoneticPr fontId="3"/>
  </si>
  <si>
    <t>インフラ工作物の取得等</t>
    <phoneticPr fontId="3"/>
  </si>
  <si>
    <t>インフラその他の取得等</t>
    <phoneticPr fontId="3"/>
  </si>
  <si>
    <t>インフラ建設仮勘定の取得等</t>
    <phoneticPr fontId="3"/>
  </si>
  <si>
    <t>物品の取得等</t>
    <phoneticPr fontId="3"/>
  </si>
  <si>
    <t>ソフトウェアの取得等</t>
    <phoneticPr fontId="3"/>
  </si>
  <si>
    <t>その他無形固定資産の取得等</t>
    <rPh sb="2" eb="3">
      <t>タ</t>
    </rPh>
    <rPh sb="10" eb="12">
      <t>シュトク</t>
    </rPh>
    <rPh sb="12" eb="13">
      <t>トウ</t>
    </rPh>
    <phoneticPr fontId="3"/>
  </si>
  <si>
    <t>物件費分振替</t>
    <rPh sb="0" eb="3">
      <t>ブッケンヒ</t>
    </rPh>
    <rPh sb="3" eb="4">
      <t>ブン</t>
    </rPh>
    <rPh sb="4" eb="6">
      <t>フリカエ</t>
    </rPh>
    <phoneticPr fontId="3"/>
  </si>
  <si>
    <t>維持補修費分振替</t>
    <rPh sb="0" eb="2">
      <t>イジ</t>
    </rPh>
    <rPh sb="2" eb="4">
      <t>ホシュウ</t>
    </rPh>
    <rPh sb="4" eb="5">
      <t>ヒ</t>
    </rPh>
    <rPh sb="5" eb="6">
      <t>フン</t>
    </rPh>
    <rPh sb="6" eb="8">
      <t>フリカエ</t>
    </rPh>
    <phoneticPr fontId="3"/>
  </si>
  <si>
    <t>その他（移転費用）分振替</t>
    <rPh sb="2" eb="3">
      <t>タ</t>
    </rPh>
    <rPh sb="4" eb="6">
      <t>イテン</t>
    </rPh>
    <rPh sb="6" eb="8">
      <t>ヒヨウ</t>
    </rPh>
    <rPh sb="9" eb="10">
      <t>フン</t>
    </rPh>
    <rPh sb="10" eb="12">
      <t>フリカエ</t>
    </rPh>
    <phoneticPr fontId="3"/>
  </si>
  <si>
    <t>PLその他（移転費用）</t>
  </si>
  <si>
    <t>CFその他の支出（移転費用）</t>
  </si>
  <si>
    <t>非資金仕訳</t>
    <rPh sb="1" eb="3">
      <t>シキン</t>
    </rPh>
    <rPh sb="3" eb="5">
      <t>シワケ</t>
    </rPh>
    <phoneticPr fontId="3"/>
  </si>
  <si>
    <t>固定資産調査判明</t>
    <rPh sb="0" eb="2">
      <t>コテイ</t>
    </rPh>
    <rPh sb="2" eb="4">
      <t>シサン</t>
    </rPh>
    <rPh sb="4" eb="6">
      <t>チョウサ</t>
    </rPh>
    <rPh sb="6" eb="8">
      <t>ハンメイ</t>
    </rPh>
    <phoneticPr fontId="3"/>
  </si>
  <si>
    <t>固定資産の除却</t>
    <rPh sb="0" eb="2">
      <t>コテイ</t>
    </rPh>
    <rPh sb="2" eb="4">
      <t>シサン</t>
    </rPh>
    <rPh sb="5" eb="7">
      <t>ジョキャク</t>
    </rPh>
    <phoneticPr fontId="3"/>
  </si>
  <si>
    <t>過年度償却不足額調整</t>
    <rPh sb="0" eb="3">
      <t>カネンド</t>
    </rPh>
    <rPh sb="3" eb="5">
      <t>ショウキャク</t>
    </rPh>
    <rPh sb="5" eb="7">
      <t>ブソク</t>
    </rPh>
    <rPh sb="7" eb="8">
      <t>ガク</t>
    </rPh>
    <rPh sb="8" eb="10">
      <t>チョウセイ</t>
    </rPh>
    <phoneticPr fontId="3"/>
  </si>
  <si>
    <t>過年度償却不足額調整</t>
  </si>
  <si>
    <t>過年度差額減価償却計上</t>
    <rPh sb="0" eb="3">
      <t>カネンド</t>
    </rPh>
    <rPh sb="3" eb="5">
      <t>サガク</t>
    </rPh>
    <rPh sb="5" eb="7">
      <t>ゲンカ</t>
    </rPh>
    <rPh sb="7" eb="9">
      <t>ショウキャク</t>
    </rPh>
    <rPh sb="9" eb="11">
      <t>ケイジョウ</t>
    </rPh>
    <phoneticPr fontId="3"/>
  </si>
  <si>
    <t>減価償却</t>
    <rPh sb="0" eb="2">
      <t>ゲンカ</t>
    </rPh>
    <rPh sb="2" eb="4">
      <t>ショウキャク</t>
    </rPh>
    <phoneticPr fontId="3"/>
  </si>
  <si>
    <t>建設仮勘定の完成振替</t>
    <rPh sb="0" eb="2">
      <t>ケンセツ</t>
    </rPh>
    <rPh sb="2" eb="3">
      <t>カリ</t>
    </rPh>
    <rPh sb="3" eb="5">
      <t>カンジョウ</t>
    </rPh>
    <rPh sb="6" eb="8">
      <t>カンセイ</t>
    </rPh>
    <rPh sb="8" eb="10">
      <t>フリカエ</t>
    </rPh>
    <phoneticPr fontId="3"/>
  </si>
  <si>
    <t>リース料支払</t>
    <rPh sb="3" eb="4">
      <t>リョウ</t>
    </rPh>
    <rPh sb="4" eb="6">
      <t>シハラ</t>
    </rPh>
    <phoneticPr fontId="3"/>
  </si>
  <si>
    <t>BSその他（固定負債）</t>
  </si>
  <si>
    <t>前年度末未収金振替</t>
  </si>
  <si>
    <t>当期不納欠損　引当金充当</t>
  </si>
  <si>
    <t>当期不納欠損　費用計上</t>
  </si>
  <si>
    <t>期首分振替&lt;不納欠損控除後&gt;</t>
    <phoneticPr fontId="3"/>
  </si>
  <si>
    <t>期首分振替&lt;不納欠損控除後&gt;</t>
  </si>
  <si>
    <t>徴収不能引当金戻入</t>
  </si>
  <si>
    <t>徴収不能引当金繰入</t>
    <rPh sb="7" eb="9">
      <t>クリイレ</t>
    </rPh>
    <phoneticPr fontId="2"/>
  </si>
  <si>
    <t>期末分計上</t>
  </si>
  <si>
    <t>科目振替</t>
    <rPh sb="0" eb="2">
      <t>カモク</t>
    </rPh>
    <rPh sb="2" eb="4">
      <t>フリカエ</t>
    </rPh>
    <phoneticPr fontId="3"/>
  </si>
  <si>
    <t>賞与引当金振替</t>
    <phoneticPr fontId="3"/>
  </si>
  <si>
    <t>賞与引当金繰入</t>
  </si>
  <si>
    <t>退職手当引当金戻入</t>
    <rPh sb="7" eb="9">
      <t>モドシイレ</t>
    </rPh>
    <phoneticPr fontId="3"/>
  </si>
  <si>
    <t>貸借対照表</t>
    <rPh sb="0" eb="2">
      <t>タイシャク</t>
    </rPh>
    <rPh sb="2" eb="5">
      <t>タイショウヒョウ</t>
    </rPh>
    <phoneticPr fontId="3"/>
  </si>
  <si>
    <t>検索集計用</t>
    <rPh sb="0" eb="2">
      <t>ケンサク</t>
    </rPh>
    <rPh sb="2" eb="5">
      <t>シュウケイヨウ</t>
    </rPh>
    <phoneticPr fontId="3"/>
  </si>
  <si>
    <t>期首</t>
    <rPh sb="0" eb="2">
      <t>キシュ</t>
    </rPh>
    <phoneticPr fontId="3"/>
  </si>
  <si>
    <t>歳入</t>
    <rPh sb="0" eb="2">
      <t>サイニュウ</t>
    </rPh>
    <phoneticPr fontId="3"/>
  </si>
  <si>
    <t>決算整理</t>
    <rPh sb="0" eb="2">
      <t>ケッサン</t>
    </rPh>
    <rPh sb="2" eb="4">
      <t>セイリ</t>
    </rPh>
    <phoneticPr fontId="3"/>
  </si>
  <si>
    <t>総合事務組合連結</t>
    <rPh sb="0" eb="6">
      <t>ソウゴウジムクミアイ</t>
    </rPh>
    <rPh sb="6" eb="8">
      <t>レンケツ</t>
    </rPh>
    <phoneticPr fontId="3"/>
  </si>
  <si>
    <t>連結相殺</t>
    <rPh sb="0" eb="2">
      <t>レンケツ</t>
    </rPh>
    <rPh sb="2" eb="4">
      <t>ソウサイ</t>
    </rPh>
    <phoneticPr fontId="3"/>
  </si>
  <si>
    <t>期末</t>
    <rPh sb="0" eb="2">
      <t>キマツ</t>
    </rPh>
    <phoneticPr fontId="3"/>
  </si>
  <si>
    <t>BS事業用建物減価償却累計額</t>
    <phoneticPr fontId="3"/>
  </si>
  <si>
    <t>BS事業用工作物</t>
    <phoneticPr fontId="3"/>
  </si>
  <si>
    <t>BS事業用工作物減価償却累計額</t>
    <phoneticPr fontId="3"/>
  </si>
  <si>
    <t>BSインフラ建物減価償却累計額</t>
    <phoneticPr fontId="3"/>
  </si>
  <si>
    <t>BSインフラ工作物減価償却累計額</t>
    <phoneticPr fontId="3"/>
  </si>
  <si>
    <t>BSインフラその他減価償却累計額</t>
    <phoneticPr fontId="3"/>
  </si>
  <si>
    <t>BSインフラ建設仮勘定</t>
    <phoneticPr fontId="3"/>
  </si>
  <si>
    <t>CFより</t>
    <phoneticPr fontId="3"/>
  </si>
  <si>
    <t>行政コスト計算書</t>
    <rPh sb="0" eb="2">
      <t>ギョウセイ</t>
    </rPh>
    <rPh sb="5" eb="8">
      <t>ケイサンショ</t>
    </rPh>
    <phoneticPr fontId="3"/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</si>
  <si>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</si>
  <si>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</si>
  <si>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</si>
  <si>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</si>
  <si>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</si>
  <si>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</si>
  <si>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</si>
  <si>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</si>
  <si>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</si>
  <si>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</si>
  <si>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</si>
  <si>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</si>
  <si>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</si>
  <si>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</si>
  <si>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</si>
  <si>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</si>
  <si>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</si>
  <si>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</si>
  <si>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</si>
  <si>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</si>
  <si>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</si>
  <si>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</si>
  <si>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</si>
  <si>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</si>
  <si>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</si>
  <si>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</si>
  <si>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</si>
  <si>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</si>
  <si>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</t>
    <rPh sb="0" eb="1">
      <t>ジュン</t>
    </rPh>
    <rPh sb="1" eb="2">
      <t>シ</t>
    </rPh>
    <rPh sb="2" eb="3">
      <t>サン</t>
    </rPh>
    <rPh sb="3" eb="5">
      <t>ヘンドウ</t>
    </rPh>
    <rPh sb="5" eb="8">
      <t>ケイサンショ</t>
    </rPh>
    <phoneticPr fontId="3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</si>
  <si>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</si>
  <si>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</si>
  <si>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</si>
  <si>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</si>
  <si>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</si>
  <si>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</si>
  <si>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</si>
  <si>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</si>
  <si>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</si>
  <si>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</si>
  <si>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</si>
  <si>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>NW資産評価差額</t>
    <phoneticPr fontId="3"/>
  </si>
  <si>
    <t xml:space="preserve">  資産評価差額</t>
    <phoneticPr fontId="3"/>
  </si>
  <si>
    <t>NW無償所管換等</t>
    <phoneticPr fontId="3"/>
  </si>
  <si>
    <t xml:space="preserve">  無償所管換等</t>
    <phoneticPr fontId="3"/>
  </si>
  <si>
    <t xml:space="preserve">  その他</t>
  </si>
  <si>
    <t>本年度末純資産残高</t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</si>
  <si>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</si>
  <si>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</si>
  <si>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</si>
  <si>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</si>
  <si>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</si>
  <si>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</si>
  <si>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</si>
  <si>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</si>
  <si>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</si>
  <si>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</si>
  <si>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</si>
  <si>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</si>
  <si>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</si>
  <si>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</si>
  <si>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</si>
  <si>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</si>
  <si>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</si>
  <si>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</si>
  <si>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</si>
  <si>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</si>
  <si>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>CF臨時収入</t>
    <phoneticPr fontId="3"/>
  </si>
  <si>
    <t xml:space="preserve">  臨時収入</t>
    <phoneticPr fontId="3"/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</si>
  <si>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</si>
  <si>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</si>
  <si>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</si>
  <si>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</si>
  <si>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</si>
  <si>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</si>
  <si>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</si>
  <si>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</si>
  <si>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</si>
  <si>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</si>
  <si>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</si>
  <si>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</si>
  <si>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</si>
  <si>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</si>
  <si>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</si>
  <si>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</si>
  <si>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</si>
  <si>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</si>
  <si>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</si>
  <si>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</si>
  <si>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</si>
  <si>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</si>
  <si>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</si>
  <si>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</si>
  <si>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</si>
  <si>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(BS資産形成)</t>
    <phoneticPr fontId="1"/>
  </si>
  <si>
    <t>資産形成分</t>
    <rPh sb="0" eb="2">
      <t>シサン</t>
    </rPh>
    <rPh sb="2" eb="4">
      <t>ケイセイ</t>
    </rPh>
    <rPh sb="4" eb="5">
      <t>ブン</t>
    </rPh>
    <phoneticPr fontId="3"/>
  </si>
  <si>
    <t>相殺仕訳</t>
    <rPh sb="0" eb="2">
      <t>ソウサイ</t>
    </rPh>
    <rPh sb="2" eb="4">
      <t>シワケ</t>
    </rPh>
    <phoneticPr fontId="3"/>
  </si>
  <si>
    <t>一般会計</t>
    <rPh sb="0" eb="4">
      <t>イッパンカイケイ</t>
    </rPh>
    <phoneticPr fontId="1"/>
  </si>
  <si>
    <t>市町村総合事務組合</t>
    <rPh sb="0" eb="9">
      <t>シチョウソンソウゴウジムクミアイ</t>
    </rPh>
    <phoneticPr fontId="1"/>
  </si>
  <si>
    <t>会計名称</t>
    <rPh sb="0" eb="4">
      <t>カイケイメイショウ</t>
    </rPh>
    <phoneticPr fontId="1"/>
  </si>
  <si>
    <t>科目</t>
    <rPh sb="0" eb="2">
      <t>カモク</t>
    </rPh>
    <phoneticPr fontId="3"/>
  </si>
  <si>
    <t>相手方</t>
    <rPh sb="0" eb="3">
      <t>アイテカタ</t>
    </rPh>
    <phoneticPr fontId="1"/>
  </si>
  <si>
    <t>予算科目</t>
    <rPh sb="0" eb="2">
      <t>ヨサン</t>
    </rPh>
    <rPh sb="2" eb="4">
      <t>カモク</t>
    </rPh>
    <phoneticPr fontId="1"/>
  </si>
  <si>
    <t>〇〇管理料</t>
    <rPh sb="2" eb="4">
      <t>カンリ</t>
    </rPh>
    <rPh sb="4" eb="5">
      <t>リョウ</t>
    </rPh>
    <phoneticPr fontId="1"/>
  </si>
  <si>
    <t>〇〇概算請求</t>
    <phoneticPr fontId="1"/>
  </si>
  <si>
    <t>NWその他（固定資産等形成分）</t>
    <rPh sb="4" eb="5">
      <t>タ</t>
    </rPh>
    <phoneticPr fontId="3"/>
  </si>
  <si>
    <t>諸収入（受託事業収入）</t>
  </si>
  <si>
    <t>※プルダウンからも選択可</t>
    <rPh sb="9" eb="12">
      <t>センタクカ</t>
    </rPh>
    <phoneticPr fontId="1"/>
  </si>
  <si>
    <t>開始仕訳等</t>
    <rPh sb="0" eb="4">
      <t>カイシシワケ</t>
    </rPh>
    <rPh sb="4" eb="5">
      <t>ナド</t>
    </rPh>
    <phoneticPr fontId="3"/>
  </si>
  <si>
    <t>〇〇出資金</t>
    <rPh sb="2" eb="5">
      <t>シュッシキン</t>
    </rPh>
    <phoneticPr fontId="1"/>
  </si>
  <si>
    <t>火災保険料・自動車損害保険料等</t>
    <phoneticPr fontId="1"/>
  </si>
  <si>
    <t xml:space="preserve">  その他</t>
    <rPh sb="4" eb="5">
      <t>タ</t>
    </rPh>
    <phoneticPr fontId="3"/>
  </si>
  <si>
    <t>精　算　表</t>
    <rPh sb="0" eb="1">
      <t>セイ</t>
    </rPh>
    <rPh sb="2" eb="3">
      <t>サン</t>
    </rPh>
    <rPh sb="4" eb="5">
      <t>ヒョウ</t>
    </rPh>
    <phoneticPr fontId="3"/>
  </si>
  <si>
    <t xml:space="preserve">（単位：円） </t>
  </si>
  <si>
    <t>貸借対照表</t>
    <phoneticPr fontId="3"/>
  </si>
  <si>
    <t xml:space="preserve">  固定資産</t>
    <phoneticPr fontId="3"/>
  </si>
  <si>
    <t xml:space="preserve"> </t>
    <phoneticPr fontId="3"/>
  </si>
  <si>
    <t>【様式第 2号】</t>
    <rPh sb="1" eb="3">
      <t>ヨウシキ</t>
    </rPh>
    <rPh sb="3" eb="4">
      <t>ダイ</t>
    </rPh>
    <rPh sb="6" eb="7">
      <t>ゴウ</t>
    </rPh>
    <phoneticPr fontId="3"/>
  </si>
  <si>
    <t>行政コスト計算書</t>
    <phoneticPr fontId="3"/>
  </si>
  <si>
    <t xml:space="preserve">  経常費用</t>
    <phoneticPr fontId="3"/>
  </si>
  <si>
    <t xml:space="preserve">  経常収益</t>
    <phoneticPr fontId="3"/>
  </si>
  <si>
    <t xml:space="preserve">  臨時損失</t>
    <phoneticPr fontId="3"/>
  </si>
  <si>
    <t xml:space="preserve">  臨時利益</t>
    <phoneticPr fontId="3"/>
  </si>
  <si>
    <t>純行政コスト</t>
    <phoneticPr fontId="3"/>
  </si>
  <si>
    <t>【様式第 3号】</t>
    <rPh sb="1" eb="3">
      <t>ヨウシキ</t>
    </rPh>
    <rPh sb="3" eb="4">
      <t>ダイ</t>
    </rPh>
    <rPh sb="6" eb="7">
      <t>ゴウ</t>
    </rPh>
    <phoneticPr fontId="3"/>
  </si>
  <si>
    <t>純資産変動計算書</t>
    <phoneticPr fontId="3"/>
  </si>
  <si>
    <t>固定資産等
形成分</t>
    <phoneticPr fontId="3"/>
  </si>
  <si>
    <t>余剰分
(不足分)</t>
    <phoneticPr fontId="3"/>
  </si>
  <si>
    <t>前年度末純資産残高</t>
    <phoneticPr fontId="3"/>
  </si>
  <si>
    <t>本年度末純資産残高</t>
    <phoneticPr fontId="3"/>
  </si>
  <si>
    <t>資金収支計算書</t>
    <phoneticPr fontId="3"/>
  </si>
  <si>
    <t xml:space="preserve">  業務支出</t>
    <phoneticPr fontId="3"/>
  </si>
  <si>
    <t xml:space="preserve">  業務収入</t>
    <phoneticPr fontId="3"/>
  </si>
  <si>
    <t xml:space="preserve">  臨時支出</t>
    <phoneticPr fontId="3"/>
  </si>
  <si>
    <t xml:space="preserve">  投資活動支出</t>
    <phoneticPr fontId="3"/>
  </si>
  <si>
    <t xml:space="preserve">  投資活動収入</t>
    <phoneticPr fontId="3"/>
  </si>
  <si>
    <t xml:space="preserve">  財務活動支出</t>
    <phoneticPr fontId="3"/>
  </si>
  <si>
    <t xml:space="preserve">  財務活動収入</t>
    <phoneticPr fontId="3"/>
  </si>
  <si>
    <t>前年度末資金残高</t>
    <phoneticPr fontId="3"/>
  </si>
  <si>
    <t>本年度末資金残高</t>
    <phoneticPr fontId="3"/>
  </si>
  <si>
    <t>前年度末歳計外現金残高</t>
    <phoneticPr fontId="3"/>
  </si>
  <si>
    <t>本年度歳計外現金増減額</t>
    <phoneticPr fontId="3"/>
  </si>
  <si>
    <t>本年度末歳計外現金残高</t>
    <phoneticPr fontId="3"/>
  </si>
  <si>
    <t>本年度末現金預金残高</t>
    <phoneticPr fontId="3"/>
  </si>
  <si>
    <t xml:space="preserve">（単位：円） </t>
    <phoneticPr fontId="1"/>
  </si>
  <si>
    <t>CF投資及び出資金支出</t>
    <phoneticPr fontId="1"/>
  </si>
  <si>
    <t>公債費翌年度返済分振替</t>
    <rPh sb="3" eb="6">
      <t>ヨクネンド</t>
    </rPh>
    <phoneticPr fontId="1"/>
  </si>
  <si>
    <t>修繕料</t>
    <rPh sb="0" eb="2">
      <t>シュウゼン</t>
    </rPh>
    <rPh sb="2" eb="3">
      <t>リョウ</t>
    </rPh>
    <phoneticPr fontId="3"/>
  </si>
  <si>
    <t>修繕料-資産形成</t>
    <rPh sb="0" eb="2">
      <t>シュウゼン</t>
    </rPh>
    <rPh sb="2" eb="3">
      <t>リョウ</t>
    </rPh>
    <rPh sb="4" eb="8">
      <t>シサンケイセイ</t>
    </rPh>
    <phoneticPr fontId="3"/>
  </si>
  <si>
    <t>資金収支計算書</t>
  </si>
  <si>
    <t>純資産変動計算書</t>
  </si>
  <si>
    <t>行政コスト計算書</t>
  </si>
  <si>
    <t>貸借対照表</t>
  </si>
  <si>
    <t>固定資産等形成分</t>
    <phoneticPr fontId="3"/>
  </si>
  <si>
    <t>・4表BS純資産</t>
    <rPh sb="2" eb="3">
      <t>ヒョウ</t>
    </rPh>
    <rPh sb="5" eb="8">
      <t>ジュンシサン</t>
    </rPh>
    <phoneticPr fontId="3"/>
  </si>
  <si>
    <t>・4表NW</t>
    <rPh sb="2" eb="3">
      <t>ヒョウ</t>
    </rPh>
    <phoneticPr fontId="3"/>
  </si>
  <si>
    <t>・4表CF</t>
    <rPh sb="2" eb="3">
      <t>ヒョウ</t>
    </rPh>
    <phoneticPr fontId="3"/>
  </si>
  <si>
    <t>組替値</t>
    <rPh sb="0" eb="2">
      <t>クミカエ</t>
    </rPh>
    <rPh sb="2" eb="3">
      <t>チ</t>
    </rPh>
    <phoneticPr fontId="3"/>
  </si>
  <si>
    <t>決算値</t>
    <rPh sb="0" eb="2">
      <t>ケッサン</t>
    </rPh>
    <rPh sb="2" eb="3">
      <t>チ</t>
    </rPh>
    <phoneticPr fontId="3"/>
  </si>
  <si>
    <t>・歳出</t>
    <rPh sb="1" eb="3">
      <t>サイシュツ</t>
    </rPh>
    <phoneticPr fontId="3"/>
  </si>
  <si>
    <t>・歳入</t>
    <rPh sb="1" eb="3">
      <t>サイニュウ</t>
    </rPh>
    <phoneticPr fontId="3"/>
  </si>
  <si>
    <t>（貸方）</t>
    <rPh sb="1" eb="3">
      <t>カシカタ</t>
    </rPh>
    <phoneticPr fontId="3"/>
  </si>
  <si>
    <t>（借方）</t>
    <rPh sb="1" eb="3">
      <t>カリカタ</t>
    </rPh>
    <phoneticPr fontId="3"/>
  </si>
  <si>
    <t>・開始BS</t>
    <rPh sb="1" eb="3">
      <t>カイシ</t>
    </rPh>
    <phoneticPr fontId="3"/>
  </si>
  <si>
    <t>〔試算表〕</t>
    <rPh sb="1" eb="4">
      <t>シサンヒョウ</t>
    </rPh>
    <phoneticPr fontId="3"/>
  </si>
  <si>
    <t>年度</t>
    <rPh sb="0" eb="2">
      <t>ネンド</t>
    </rPh>
    <phoneticPr fontId="3"/>
  </si>
  <si>
    <t>前年度</t>
    <rPh sb="0" eb="1">
      <t>ゼン</t>
    </rPh>
    <rPh sb="1" eb="3">
      <t>ネンド</t>
    </rPh>
    <phoneticPr fontId="3"/>
  </si>
  <si>
    <t>自治体・会計名</t>
    <rPh sb="0" eb="3">
      <t>ジチタイ</t>
    </rPh>
    <rPh sb="4" eb="6">
      <t>カイケイ</t>
    </rPh>
    <rPh sb="6" eb="7">
      <t>メイ</t>
    </rPh>
    <phoneticPr fontId="3"/>
  </si>
  <si>
    <t>期首（開始）貸借対照表</t>
    <rPh sb="0" eb="2">
      <t>キシュ</t>
    </rPh>
    <rPh sb="3" eb="5">
      <t>カイシ</t>
    </rPh>
    <phoneticPr fontId="3"/>
  </si>
  <si>
    <t>新規有償取得分</t>
  </si>
  <si>
    <t>余剰分（不足分）</t>
    <phoneticPr fontId="1"/>
  </si>
  <si>
    <t>【様式第 4号】</t>
  </si>
  <si>
    <t>CF現金預金残高</t>
    <rPh sb="2" eb="4">
      <t>ゲンキン</t>
    </rPh>
    <rPh sb="4" eb="6">
      <t>ヨキン</t>
    </rPh>
    <rPh sb="6" eb="8">
      <t>ザンダカ</t>
    </rPh>
    <phoneticPr fontId="3"/>
  </si>
  <si>
    <t>BS現金預金</t>
    <rPh sb="2" eb="4">
      <t>ゲンキン</t>
    </rPh>
    <rPh sb="4" eb="6">
      <t>ヨキン</t>
    </rPh>
    <phoneticPr fontId="3"/>
  </si>
  <si>
    <t>BS純資産合計</t>
    <rPh sb="2" eb="5">
      <t>ジュンシサン</t>
    </rPh>
    <rPh sb="5" eb="7">
      <t>ゴウケイ</t>
    </rPh>
    <phoneticPr fontId="3"/>
  </si>
  <si>
    <t>NW純資産残高</t>
    <rPh sb="2" eb="5">
      <t>ジュンシサン</t>
    </rPh>
    <rPh sb="5" eb="7">
      <t>ザンダカ</t>
    </rPh>
    <phoneticPr fontId="3"/>
  </si>
  <si>
    <t>・4表整合チェック</t>
    <rPh sb="2" eb="3">
      <t>ヒョウ</t>
    </rPh>
    <rPh sb="3" eb="5">
      <t>セイゴウ</t>
    </rPh>
    <phoneticPr fontId="3"/>
  </si>
  <si>
    <t>-</t>
  </si>
  <si>
    <t>-</t>
    <phoneticPr fontId="1"/>
  </si>
  <si>
    <t>費用分の振替</t>
    <rPh sb="0" eb="2">
      <t>ヒヨウ</t>
    </rPh>
    <rPh sb="2" eb="3">
      <t>ブン</t>
    </rPh>
    <rPh sb="4" eb="5">
      <t>フ</t>
    </rPh>
    <rPh sb="5" eb="6">
      <t>カ</t>
    </rPh>
    <phoneticPr fontId="1"/>
  </si>
  <si>
    <t>売却益（売却額-簿価）</t>
    <rPh sb="0" eb="3">
      <t>バイキャクエキ</t>
    </rPh>
    <rPh sb="4" eb="6">
      <t>バイキャク</t>
    </rPh>
    <rPh sb="6" eb="7">
      <t>ガク</t>
    </rPh>
    <rPh sb="8" eb="10">
      <t>ボカ</t>
    </rPh>
    <phoneticPr fontId="3"/>
  </si>
  <si>
    <t>売却損（簿価－売却額）</t>
    <rPh sb="2" eb="3">
      <t>ゾン</t>
    </rPh>
    <phoneticPr fontId="1"/>
  </si>
  <si>
    <t>非資金仕訳(固定資産)</t>
    <phoneticPr fontId="1"/>
  </si>
  <si>
    <t>固定資産の無償所管換払出等</t>
    <rPh sb="0" eb="2">
      <t>コテイ</t>
    </rPh>
    <rPh sb="2" eb="4">
      <t>シサン</t>
    </rPh>
    <rPh sb="5" eb="7">
      <t>ムショウ</t>
    </rPh>
    <rPh sb="7" eb="9">
      <t>ショカン</t>
    </rPh>
    <rPh sb="9" eb="10">
      <t>ガ</t>
    </rPh>
    <rPh sb="10" eb="12">
      <t>ハライダシ</t>
    </rPh>
    <rPh sb="12" eb="13">
      <t>ナド</t>
    </rPh>
    <phoneticPr fontId="3"/>
  </si>
  <si>
    <t>リース資産取得 ※PPP・PFIも同様</t>
    <rPh sb="3" eb="5">
      <t>シサン</t>
    </rPh>
    <rPh sb="5" eb="7">
      <t>シュトク</t>
    </rPh>
    <rPh sb="17" eb="19">
      <t>ドウヨウ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</si>
  <si>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1"/>
  </si>
  <si>
    <t>NWその他</t>
    <rPh sb="4" eb="5">
      <t>タ</t>
    </rPh>
    <phoneticPr fontId="3"/>
  </si>
  <si>
    <t>市町村総合事務組合</t>
    <rPh sb="0" eb="3">
      <t>シチョウソン</t>
    </rPh>
    <rPh sb="3" eb="9">
      <t>ソウゴウジムクミアイ</t>
    </rPh>
    <phoneticPr fontId="3"/>
  </si>
  <si>
    <t>NWその他（余剰分(不足分)）</t>
    <rPh sb="4" eb="5">
      <t>タ</t>
    </rPh>
    <phoneticPr fontId="3"/>
  </si>
  <si>
    <t>入金額</t>
    <rPh sb="0" eb="2">
      <t>ニュウキン</t>
    </rPh>
    <rPh sb="2" eb="3">
      <t>ガク</t>
    </rPh>
    <phoneticPr fontId="3"/>
  </si>
  <si>
    <t>出金額</t>
    <rPh sb="0" eb="2">
      <t>シュッキン</t>
    </rPh>
    <rPh sb="2" eb="3">
      <t>ガク</t>
    </rPh>
    <phoneticPr fontId="3"/>
  </si>
  <si>
    <t>退職手当引当金充当</t>
    <rPh sb="7" eb="9">
      <t>ジュウトウ</t>
    </rPh>
    <phoneticPr fontId="3"/>
  </si>
  <si>
    <t>退職手当引当金繰入</t>
    <rPh sb="7" eb="9">
      <t>クリイレ</t>
    </rPh>
    <phoneticPr fontId="3"/>
  </si>
  <si>
    <t>前年度未収金回収分</t>
    <rPh sb="0" eb="3">
      <t>ゼンネンド</t>
    </rPh>
    <rPh sb="3" eb="6">
      <t>ミシュウキン</t>
    </rPh>
    <rPh sb="6" eb="8">
      <t>カイシュウ</t>
    </rPh>
    <rPh sb="8" eb="9">
      <t>ブン</t>
    </rPh>
    <phoneticPr fontId="1"/>
  </si>
  <si>
    <t>地方譲与税</t>
  </si>
  <si>
    <t>地方特例交付金</t>
  </si>
  <si>
    <t>交通安全対策特別交付金</t>
  </si>
  <si>
    <t>環境性能割交付金</t>
    <rPh sb="0" eb="5">
      <t>カンキョウセイノウワリ</t>
    </rPh>
    <rPh sb="5" eb="8">
      <t>コウフキン</t>
    </rPh>
    <phoneticPr fontId="1"/>
  </si>
  <si>
    <t>都道府県税、市町村税</t>
  </si>
  <si>
    <t>税交付金</t>
  </si>
  <si>
    <t>14.予備費</t>
    <rPh sb="3" eb="6">
      <t>ヨビヒ</t>
    </rPh>
    <phoneticPr fontId="3"/>
  </si>
  <si>
    <t>未払金</t>
    <rPh sb="0" eb="3">
      <t>ミバライキン</t>
    </rPh>
    <phoneticPr fontId="1"/>
  </si>
  <si>
    <t>長期未払金</t>
    <rPh sb="0" eb="5">
      <t>チョウキミバライキン</t>
    </rPh>
    <phoneticPr fontId="1"/>
  </si>
  <si>
    <t>町民税</t>
    <rPh sb="0" eb="3">
      <t>チョウミンゼイ</t>
    </rPh>
    <phoneticPr fontId="1"/>
  </si>
  <si>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</si>
  <si>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</si>
  <si>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町たばこ税</t>
    <rPh sb="0" eb="1">
      <t>マチ</t>
    </rPh>
    <rPh sb="4" eb="5">
      <t>ゼイ</t>
    </rPh>
    <phoneticPr fontId="1"/>
  </si>
  <si>
    <t>地方揮発油譲与税</t>
    <rPh sb="0" eb="8">
      <t>チホウキハツユジョウヨゼイ</t>
    </rPh>
    <phoneticPr fontId="1"/>
  </si>
  <si>
    <t>自動車重量譲与税</t>
    <rPh sb="0" eb="8">
      <t>ジドウシャジュウリョウジョウヨゼイ</t>
    </rPh>
    <phoneticPr fontId="1"/>
  </si>
  <si>
    <t>森林環境譲与税</t>
    <rPh sb="0" eb="7">
      <t>シンリンカンキョウジョウヨゼイ</t>
    </rPh>
    <phoneticPr fontId="1"/>
  </si>
  <si>
    <t>利子割交付金</t>
    <rPh sb="0" eb="3">
      <t>リシワリ</t>
    </rPh>
    <rPh sb="3" eb="6">
      <t>コウフキン</t>
    </rPh>
    <phoneticPr fontId="1"/>
  </si>
  <si>
    <t>配当割交付金</t>
    <rPh sb="0" eb="6">
      <t>ハイトウワリコウフキン</t>
    </rPh>
    <phoneticPr fontId="1"/>
  </si>
  <si>
    <t>株式等譲渡所得割交付金</t>
    <rPh sb="0" eb="8">
      <t>カブシキトウジョウトショトクワリ</t>
    </rPh>
    <rPh sb="8" eb="11">
      <t>コウフキン</t>
    </rPh>
    <phoneticPr fontId="1"/>
  </si>
  <si>
    <t>法人事業税交付金</t>
    <rPh sb="0" eb="4">
      <t>ホウジンジギョウ</t>
    </rPh>
    <rPh sb="4" eb="5">
      <t>ゼイ</t>
    </rPh>
    <rPh sb="5" eb="8">
      <t>コウフキン</t>
    </rPh>
    <phoneticPr fontId="1"/>
  </si>
  <si>
    <t>地方消費税交付金</t>
    <rPh sb="0" eb="5">
      <t>チホウショウヒゼイ</t>
    </rPh>
    <rPh sb="5" eb="8">
      <t>コウフキン</t>
    </rPh>
    <phoneticPr fontId="1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</si>
  <si>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1"/>
  </si>
  <si>
    <t>地方特例交付金</t>
    <rPh sb="0" eb="4">
      <t>チホウトクレイ</t>
    </rPh>
    <rPh sb="4" eb="7">
      <t>コウフキン</t>
    </rPh>
    <phoneticPr fontId="1"/>
  </si>
  <si>
    <t>地方交付税</t>
  </si>
  <si>
    <t>負担金</t>
    <rPh sb="0" eb="3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</si>
  <si>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</si>
  <si>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</si>
  <si>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国庫負担金</t>
    <rPh sb="0" eb="5">
      <t>コッコフタンキン</t>
    </rPh>
    <phoneticPr fontId="1"/>
  </si>
  <si>
    <t>国庫補助金</t>
    <rPh sb="0" eb="5">
      <t>コッコホジョキン</t>
    </rPh>
    <phoneticPr fontId="1"/>
  </si>
  <si>
    <t>委託金</t>
    <rPh sb="0" eb="3">
      <t>イタクキン</t>
    </rPh>
    <phoneticPr fontId="1"/>
  </si>
  <si>
    <t>県負担金</t>
    <rPh sb="0" eb="4">
      <t>ケンフタンキン</t>
    </rPh>
    <phoneticPr fontId="1"/>
  </si>
  <si>
    <t>県補助金</t>
    <rPh sb="0" eb="4">
      <t>ケンホジョキン</t>
    </rPh>
    <phoneticPr fontId="1"/>
  </si>
  <si>
    <t>財産運用収入</t>
    <rPh sb="0" eb="6">
      <t>ザイサンウンヨウシュウニュウ</t>
    </rPh>
    <phoneticPr fontId="1"/>
  </si>
  <si>
    <t>寄附金</t>
    <rPh sb="0" eb="3">
      <t>キフキン</t>
    </rPh>
    <phoneticPr fontId="1"/>
  </si>
  <si>
    <t>基金繰入金</t>
    <rPh sb="0" eb="5">
      <t>キキンクリイレキン</t>
    </rPh>
    <phoneticPr fontId="1"/>
  </si>
  <si>
    <t>特別会計繰入金</t>
    <rPh sb="0" eb="7">
      <t>トクベツカイケイクリイレキン</t>
    </rPh>
    <phoneticPr fontId="1"/>
  </si>
  <si>
    <t>延滞金加算金及び過料</t>
    <rPh sb="0" eb="7">
      <t>エンタイキンカサンキンオヨ</t>
    </rPh>
    <rPh sb="8" eb="10">
      <t>カリョウ</t>
    </rPh>
    <phoneticPr fontId="1"/>
  </si>
  <si>
    <t>町預金利子</t>
    <rPh sb="0" eb="1">
      <t>マチ</t>
    </rPh>
    <rPh sb="1" eb="5">
      <t>ヨキンリシ</t>
    </rPh>
    <phoneticPr fontId="1"/>
  </si>
  <si>
    <t>雑入</t>
    <rPh sb="0" eb="2">
      <t>ザツニュウ</t>
    </rPh>
    <phoneticPr fontId="1"/>
  </si>
  <si>
    <t>町債</t>
    <rPh sb="0" eb="2">
      <t>チョウサイ</t>
    </rPh>
    <phoneticPr fontId="1"/>
  </si>
  <si>
    <t>財産売払収入</t>
    <rPh sb="0" eb="3">
      <t>ザイサンウ</t>
    </rPh>
    <rPh sb="3" eb="4">
      <t>ハラ</t>
    </rPh>
    <rPh sb="4" eb="6">
      <t>シュウニュウ</t>
    </rPh>
    <phoneticPr fontId="1"/>
  </si>
  <si>
    <t>白子町</t>
    <rPh sb="0" eb="3">
      <t>シラコマチ</t>
    </rPh>
    <phoneticPr fontId="1"/>
  </si>
  <si>
    <t>鉱産税</t>
    <rPh sb="0" eb="3">
      <t>コウサンゼイ</t>
    </rPh>
    <phoneticPr fontId="1"/>
  </si>
  <si>
    <t>入湯税</t>
    <rPh sb="0" eb="3">
      <t>ニュウトウゼイ</t>
    </rPh>
    <phoneticPr fontId="1"/>
  </si>
  <si>
    <t>自動車取得税交付金</t>
    <rPh sb="0" eb="9">
      <t>ジドウシャシュトクゼイコウフキン</t>
    </rPh>
    <phoneticPr fontId="1"/>
  </si>
  <si>
    <t>新型コロナ交付金</t>
    <rPh sb="0" eb="2">
      <t>シンガタ</t>
    </rPh>
    <rPh sb="5" eb="8">
      <t>コウフキン</t>
    </rPh>
    <phoneticPr fontId="1"/>
  </si>
  <si>
    <t>受託事業収入</t>
    <rPh sb="0" eb="6">
      <t>ジュタクジギョウシュウニュウ</t>
    </rPh>
    <phoneticPr fontId="1"/>
  </si>
  <si>
    <t>過年度調整</t>
    <rPh sb="0" eb="5">
      <t>カネンドチョウセイ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</si>
</sst>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_ * #,##0_ ;[Red]_ * \-#,##0_ ;_ * &quot;-&quot;_ ;_ @_ "/>
    <numFmt numFmtId="177" formatCode="_ * #,##0_ ;[Red]_ * \-#,##0_ ;_ * &quot;OK&quot;_ ;_ @_ "/>
    <numFmt numFmtId="178" formatCode="_ * #,##0_ ;_ * \-#,##0_ ;_ * &quot;OK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rgb="FF0000FF"/>
      </right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 style="dotted">
        <color rgb="FF0000FF"/>
      </left>
      <right/>
      <top/>
      <bottom style="dotted">
        <color rgb="FF0000FF"/>
      </bottom>
      <diagonal/>
    </border>
    <border>
      <left/>
      <right style="dotted">
        <color rgb="FF0000FF"/>
      </right>
      <top/>
      <bottom/>
      <diagonal/>
    </border>
    <border>
      <left style="dotted">
        <color rgb="FF0000FF"/>
      </left>
      <right/>
      <top/>
      <bottom/>
      <diagonal/>
    </border>
    <border>
      <left/>
      <right style="dotted">
        <color rgb="FF0000FF"/>
      </right>
      <top style="dotted">
        <color rgb="FF0000FF"/>
      </top>
      <bottom/>
      <diagonal/>
    </border>
    <border>
      <left/>
      <right/>
      <top style="dotted">
        <color rgb="FF0000FF"/>
      </top>
      <bottom/>
      <diagonal/>
    </border>
    <border>
      <left style="dotted">
        <color rgb="FF0000FF"/>
      </left>
      <right/>
      <top style="dotted">
        <color rgb="FF0000FF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0" xfId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0" xfId="0" applyBorder="1">
      <alignment vertical="center"/>
    </xf>
    <xf numFmtId="0" fontId="4" fillId="0" borderId="17" xfId="1" applyFont="1" applyBorder="1">
      <alignment vertical="center"/>
    </xf>
    <xf numFmtId="0" fontId="2" fillId="0" borderId="38" xfId="1" applyBorder="1">
      <alignment vertical="center"/>
    </xf>
    <xf numFmtId="0" fontId="2" fillId="0" borderId="18" xfId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5" fillId="5" borderId="8" xfId="1" applyFont="1" applyFill="1" applyBorder="1">
      <alignment vertical="center"/>
    </xf>
    <xf numFmtId="0" fontId="5" fillId="5" borderId="0" xfId="1" applyFont="1" applyFill="1">
      <alignment vertical="center"/>
    </xf>
    <xf numFmtId="0" fontId="5" fillId="5" borderId="9" xfId="1" applyFont="1" applyFill="1" applyBorder="1">
      <alignment vertical="center"/>
    </xf>
    <xf numFmtId="0" fontId="4" fillId="0" borderId="8" xfId="1" applyFont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3" borderId="13" xfId="0" applyFont="1" applyFill="1" applyBorder="1">
      <alignment vertical="center"/>
    </xf>
    <xf numFmtId="176" fontId="9" fillId="3" borderId="13" xfId="2" applyNumberFormat="1" applyFont="1" applyFill="1" applyBorder="1">
      <alignment vertical="center"/>
    </xf>
    <xf numFmtId="176" fontId="6" fillId="0" borderId="13" xfId="2" applyNumberFormat="1" applyFont="1" applyBorder="1">
      <alignment vertical="center"/>
    </xf>
    <xf numFmtId="176" fontId="9" fillId="0" borderId="13" xfId="2" applyNumberFormat="1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6" fillId="5" borderId="13" xfId="0" applyFont="1" applyFill="1" applyBorder="1">
      <alignment vertical="center"/>
    </xf>
    <xf numFmtId="176" fontId="9" fillId="5" borderId="13" xfId="2" applyNumberFormat="1" applyFont="1" applyFill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2" xfId="0" applyFont="1" applyBorder="1">
      <alignment vertical="center"/>
    </xf>
    <xf numFmtId="0" fontId="9" fillId="6" borderId="13" xfId="0" applyFont="1" applyFill="1" applyBorder="1" applyAlignment="1">
      <alignment horizontal="right" vertical="center"/>
    </xf>
    <xf numFmtId="177" fontId="9" fillId="6" borderId="13" xfId="2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41" fontId="0" fillId="0" borderId="22" xfId="2" applyNumberFormat="1" applyFont="1" applyBorder="1">
      <alignment vertical="center"/>
    </xf>
    <xf numFmtId="0" fontId="0" fillId="2" borderId="23" xfId="0" applyFill="1" applyBorder="1">
      <alignment vertical="center"/>
    </xf>
    <xf numFmtId="41" fontId="0" fillId="3" borderId="23" xfId="0" applyNumberFormat="1" applyFill="1" applyBorder="1">
      <alignment vertical="center"/>
    </xf>
    <xf numFmtId="41" fontId="0" fillId="0" borderId="23" xfId="0" applyNumberFormat="1" applyBorder="1">
      <alignment vertical="center"/>
    </xf>
    <xf numFmtId="0" fontId="0" fillId="3" borderId="23" xfId="0" applyFill="1" applyBorder="1">
      <alignment vertical="center"/>
    </xf>
    <xf numFmtId="0" fontId="0" fillId="2" borderId="30" xfId="0" applyFill="1" applyBorder="1">
      <alignment vertical="center"/>
    </xf>
    <xf numFmtId="41" fontId="0" fillId="3" borderId="30" xfId="0" applyNumberFormat="1" applyFill="1" applyBorder="1">
      <alignment vertical="center"/>
    </xf>
    <xf numFmtId="41" fontId="0" fillId="0" borderId="30" xfId="0" applyNumberFormat="1" applyBorder="1">
      <alignment vertical="center"/>
    </xf>
    <xf numFmtId="0" fontId="0" fillId="3" borderId="30" xfId="0" applyFill="1" applyBorder="1">
      <alignment vertical="center"/>
    </xf>
    <xf numFmtId="0" fontId="0" fillId="2" borderId="42" xfId="0" applyFill="1" applyBorder="1" applyAlignment="1">
      <alignment horizontal="right" vertical="center"/>
    </xf>
    <xf numFmtId="41" fontId="0" fillId="0" borderId="42" xfId="0" applyNumberFormat="1" applyBorder="1">
      <alignment vertical="center"/>
    </xf>
    <xf numFmtId="0" fontId="0" fillId="0" borderId="42" xfId="0" applyBorder="1">
      <alignment vertical="center"/>
    </xf>
    <xf numFmtId="0" fontId="0" fillId="7" borderId="42" xfId="0" applyFill="1" applyBorder="1" applyAlignment="1">
      <alignment horizontal="right" vertical="center"/>
    </xf>
    <xf numFmtId="0" fontId="0" fillId="7" borderId="42" xfId="0" applyFill="1" applyBorder="1" applyAlignment="1">
      <alignment horizontal="center" vertical="center"/>
    </xf>
    <xf numFmtId="41" fontId="0" fillId="7" borderId="42" xfId="0" applyNumberFormat="1" applyFill="1" applyBorder="1">
      <alignment vertical="center"/>
    </xf>
    <xf numFmtId="0" fontId="0" fillId="7" borderId="42" xfId="0" applyFill="1" applyBorder="1">
      <alignment vertical="center"/>
    </xf>
    <xf numFmtId="41" fontId="0" fillId="0" borderId="22" xfId="0" applyNumberFormat="1" applyBorder="1">
      <alignment vertical="center"/>
    </xf>
    <xf numFmtId="41" fontId="0" fillId="0" borderId="22" xfId="2" applyNumberFormat="1" applyFont="1" applyFill="1" applyBorder="1">
      <alignment vertical="center"/>
    </xf>
    <xf numFmtId="41" fontId="0" fillId="0" borderId="42" xfId="0" applyNumberFormat="1" applyBorder="1" applyAlignment="1">
      <alignment horizontal="right" vertical="center"/>
    </xf>
    <xf numFmtId="0" fontId="12" fillId="0" borderId="0" xfId="0" applyFont="1">
      <alignment vertical="center"/>
    </xf>
    <xf numFmtId="38" fontId="6" fillId="0" borderId="22" xfId="2" applyFont="1" applyBorder="1">
      <alignment vertical="center"/>
    </xf>
    <xf numFmtId="0" fontId="6" fillId="3" borderId="23" xfId="0" applyFont="1" applyFill="1" applyBorder="1" applyAlignment="1">
      <alignment vertical="center" shrinkToFit="1"/>
    </xf>
    <xf numFmtId="38" fontId="9" fillId="3" borderId="23" xfId="2" applyFont="1" applyFill="1" applyBorder="1">
      <alignment vertical="center"/>
    </xf>
    <xf numFmtId="0" fontId="6" fillId="0" borderId="23" xfId="0" applyFont="1" applyBorder="1" applyAlignment="1">
      <alignment vertical="center" shrinkToFit="1"/>
    </xf>
    <xf numFmtId="38" fontId="6" fillId="0" borderId="23" xfId="2" applyFont="1" applyBorder="1">
      <alignment vertical="center"/>
    </xf>
    <xf numFmtId="0" fontId="6" fillId="3" borderId="39" xfId="0" applyFont="1" applyFill="1" applyBorder="1" applyAlignment="1">
      <alignment vertical="center" shrinkToFit="1"/>
    </xf>
    <xf numFmtId="38" fontId="6" fillId="0" borderId="32" xfId="2" applyFont="1" applyBorder="1">
      <alignment vertical="center"/>
    </xf>
    <xf numFmtId="38" fontId="6" fillId="0" borderId="13" xfId="2" applyFont="1" applyBorder="1">
      <alignment vertical="center"/>
    </xf>
    <xf numFmtId="0" fontId="6" fillId="3" borderId="22" xfId="0" applyFont="1" applyFill="1" applyBorder="1">
      <alignment vertical="center"/>
    </xf>
    <xf numFmtId="38" fontId="9" fillId="3" borderId="22" xfId="2" applyFont="1" applyFill="1" applyBorder="1">
      <alignment vertical="center"/>
    </xf>
    <xf numFmtId="0" fontId="6" fillId="0" borderId="38" xfId="0" applyFont="1" applyBorder="1">
      <alignment vertical="center"/>
    </xf>
    <xf numFmtId="0" fontId="6" fillId="3" borderId="23" xfId="0" applyFont="1" applyFill="1" applyBorder="1">
      <alignment vertical="center"/>
    </xf>
    <xf numFmtId="0" fontId="6" fillId="0" borderId="18" xfId="0" applyFont="1" applyBorder="1">
      <alignment vertical="center"/>
    </xf>
    <xf numFmtId="0" fontId="6" fillId="3" borderId="32" xfId="0" applyFont="1" applyFill="1" applyBorder="1">
      <alignment vertical="center"/>
    </xf>
    <xf numFmtId="38" fontId="9" fillId="3" borderId="32" xfId="2" applyFont="1" applyFill="1" applyBorder="1">
      <alignment vertical="center"/>
    </xf>
    <xf numFmtId="0" fontId="6" fillId="0" borderId="22" xfId="0" applyFont="1" applyBorder="1">
      <alignment vertical="center"/>
    </xf>
    <xf numFmtId="41" fontId="6" fillId="0" borderId="22" xfId="2" applyNumberFormat="1" applyFont="1" applyFill="1" applyBorder="1">
      <alignment vertical="center"/>
    </xf>
    <xf numFmtId="41" fontId="6" fillId="0" borderId="23" xfId="2" applyNumberFormat="1" applyFont="1" applyFill="1" applyBorder="1">
      <alignment vertical="center"/>
    </xf>
    <xf numFmtId="41" fontId="6" fillId="0" borderId="32" xfId="2" applyNumberFormat="1" applyFont="1" applyFill="1" applyBorder="1">
      <alignment vertical="center"/>
    </xf>
    <xf numFmtId="0" fontId="6" fillId="3" borderId="18" xfId="0" applyFont="1" applyFill="1" applyBorder="1">
      <alignment vertical="center"/>
    </xf>
    <xf numFmtId="38" fontId="9" fillId="3" borderId="18" xfId="2" applyFont="1" applyFill="1" applyBorder="1">
      <alignment vertical="center"/>
    </xf>
    <xf numFmtId="0" fontId="6" fillId="3" borderId="30" xfId="0" applyFont="1" applyFill="1" applyBorder="1">
      <alignment vertical="center"/>
    </xf>
    <xf numFmtId="38" fontId="9" fillId="3" borderId="30" xfId="2" applyFont="1" applyFill="1" applyBorder="1">
      <alignment vertical="center"/>
    </xf>
    <xf numFmtId="0" fontId="6" fillId="3" borderId="38" xfId="0" applyFont="1" applyFill="1" applyBorder="1">
      <alignment vertical="center"/>
    </xf>
    <xf numFmtId="38" fontId="9" fillId="3" borderId="38" xfId="2" applyFont="1" applyFill="1" applyBorder="1">
      <alignment vertical="center"/>
    </xf>
    <xf numFmtId="0" fontId="9" fillId="0" borderId="0" xfId="1" applyFont="1">
      <alignment vertical="center"/>
    </xf>
    <xf numFmtId="0" fontId="7" fillId="0" borderId="44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0" borderId="55" xfId="1" applyFont="1" applyBorder="1">
      <alignment vertical="center"/>
    </xf>
    <xf numFmtId="38" fontId="6" fillId="0" borderId="56" xfId="2" applyFont="1" applyBorder="1">
      <alignment vertical="center"/>
    </xf>
    <xf numFmtId="38" fontId="6" fillId="0" borderId="57" xfId="2" applyFont="1" applyBorder="1">
      <alignment vertical="center"/>
    </xf>
    <xf numFmtId="38" fontId="6" fillId="0" borderId="58" xfId="2" applyFont="1" applyBorder="1">
      <alignment vertical="center"/>
    </xf>
    <xf numFmtId="38" fontId="6" fillId="0" borderId="59" xfId="2" applyFont="1" applyBorder="1">
      <alignment vertical="center"/>
    </xf>
    <xf numFmtId="0" fontId="9" fillId="0" borderId="60" xfId="1" applyFont="1" applyBorder="1">
      <alignment vertical="center"/>
    </xf>
    <xf numFmtId="38" fontId="6" fillId="0" borderId="26" xfId="2" applyFont="1" applyBorder="1">
      <alignment vertical="center"/>
    </xf>
    <xf numFmtId="38" fontId="6" fillId="0" borderId="27" xfId="2" applyFont="1" applyBorder="1">
      <alignment vertical="center"/>
    </xf>
    <xf numFmtId="38" fontId="6" fillId="0" borderId="61" xfId="2" applyFont="1" applyBorder="1">
      <alignment vertical="center"/>
    </xf>
    <xf numFmtId="38" fontId="9" fillId="7" borderId="23" xfId="2" applyFont="1" applyFill="1" applyBorder="1">
      <alignment vertical="center"/>
    </xf>
    <xf numFmtId="38" fontId="9" fillId="7" borderId="26" xfId="2" applyFont="1" applyFill="1" applyBorder="1">
      <alignment vertical="center"/>
    </xf>
    <xf numFmtId="38" fontId="9" fillId="7" borderId="28" xfId="2" applyFont="1" applyFill="1" applyBorder="1">
      <alignment vertical="center"/>
    </xf>
    <xf numFmtId="38" fontId="9" fillId="7" borderId="27" xfId="2" applyFont="1" applyFill="1" applyBorder="1">
      <alignment vertical="center"/>
    </xf>
    <xf numFmtId="38" fontId="9" fillId="7" borderId="61" xfId="2" applyFont="1" applyFill="1" applyBorder="1">
      <alignment vertical="center"/>
    </xf>
    <xf numFmtId="38" fontId="9" fillId="8" borderId="23" xfId="2" applyFont="1" applyFill="1" applyBorder="1">
      <alignment vertical="center"/>
    </xf>
    <xf numFmtId="38" fontId="9" fillId="8" borderId="26" xfId="2" applyFont="1" applyFill="1" applyBorder="1">
      <alignment vertical="center"/>
    </xf>
    <xf numFmtId="38" fontId="9" fillId="8" borderId="28" xfId="2" applyFont="1" applyFill="1" applyBorder="1">
      <alignment vertical="center"/>
    </xf>
    <xf numFmtId="38" fontId="9" fillId="8" borderId="27" xfId="2" applyFont="1" applyFill="1" applyBorder="1">
      <alignment vertical="center"/>
    </xf>
    <xf numFmtId="38" fontId="9" fillId="8" borderId="61" xfId="2" applyFont="1" applyFill="1" applyBorder="1">
      <alignment vertical="center"/>
    </xf>
    <xf numFmtId="0" fontId="9" fillId="0" borderId="62" xfId="1" applyFont="1" applyBorder="1">
      <alignment vertical="center"/>
    </xf>
    <xf numFmtId="0" fontId="9" fillId="0" borderId="66" xfId="1" applyFont="1" applyBorder="1">
      <alignment vertical="center"/>
    </xf>
    <xf numFmtId="38" fontId="6" fillId="0" borderId="2" xfId="2" applyFont="1" applyBorder="1">
      <alignment vertical="center"/>
    </xf>
    <xf numFmtId="38" fontId="6" fillId="0" borderId="15" xfId="2" applyFont="1" applyBorder="1">
      <alignment vertical="center"/>
    </xf>
    <xf numFmtId="38" fontId="6" fillId="0" borderId="67" xfId="2" applyFont="1" applyBorder="1">
      <alignment vertical="center"/>
    </xf>
    <xf numFmtId="38" fontId="6" fillId="0" borderId="28" xfId="2" applyFont="1" applyBorder="1">
      <alignment vertical="center"/>
    </xf>
    <xf numFmtId="38" fontId="9" fillId="7" borderId="32" xfId="2" applyFont="1" applyFill="1" applyBorder="1">
      <alignment vertical="center"/>
    </xf>
    <xf numFmtId="38" fontId="9" fillId="7" borderId="35" xfId="2" applyFont="1" applyFill="1" applyBorder="1">
      <alignment vertical="center"/>
    </xf>
    <xf numFmtId="38" fontId="9" fillId="7" borderId="63" xfId="2" applyFont="1" applyFill="1" applyBorder="1">
      <alignment vertical="center"/>
    </xf>
    <xf numFmtId="38" fontId="9" fillId="7" borderId="64" xfId="2" applyFont="1" applyFill="1" applyBorder="1">
      <alignment vertical="center"/>
    </xf>
    <xf numFmtId="38" fontId="9" fillId="7" borderId="65" xfId="2" applyFont="1" applyFill="1" applyBorder="1">
      <alignment vertical="center"/>
    </xf>
    <xf numFmtId="0" fontId="9" fillId="0" borderId="68" xfId="1" applyFont="1" applyBorder="1">
      <alignment vertical="center"/>
    </xf>
    <xf numFmtId="38" fontId="6" fillId="0" borderId="69" xfId="2" applyFont="1" applyBorder="1">
      <alignment vertical="center"/>
    </xf>
    <xf numFmtId="38" fontId="6" fillId="0" borderId="70" xfId="2" applyFont="1" applyBorder="1">
      <alignment vertical="center"/>
    </xf>
    <xf numFmtId="38" fontId="6" fillId="0" borderId="71" xfId="2" applyFont="1" applyBorder="1">
      <alignment vertical="center"/>
    </xf>
    <xf numFmtId="38" fontId="6" fillId="0" borderId="72" xfId="2" applyFont="1" applyBorder="1">
      <alignment vertical="center"/>
    </xf>
    <xf numFmtId="0" fontId="9" fillId="0" borderId="73" xfId="1" applyFont="1" applyBorder="1">
      <alignment vertical="center"/>
    </xf>
    <xf numFmtId="38" fontId="6" fillId="0" borderId="74" xfId="2" applyFont="1" applyBorder="1">
      <alignment vertical="center"/>
    </xf>
    <xf numFmtId="38" fontId="6" fillId="0" borderId="75" xfId="2" applyFont="1" applyBorder="1">
      <alignment vertical="center"/>
    </xf>
    <xf numFmtId="38" fontId="6" fillId="0" borderId="76" xfId="2" applyFont="1" applyBorder="1">
      <alignment vertical="center"/>
    </xf>
    <xf numFmtId="38" fontId="6" fillId="0" borderId="77" xfId="2" applyFont="1" applyBorder="1">
      <alignment vertical="center"/>
    </xf>
    <xf numFmtId="0" fontId="9" fillId="0" borderId="78" xfId="1" applyFont="1" applyBorder="1">
      <alignment vertical="center"/>
    </xf>
    <xf numFmtId="38" fontId="9" fillId="0" borderId="78" xfId="1" applyNumberFormat="1" applyFont="1" applyBorder="1">
      <alignment vertical="center"/>
    </xf>
    <xf numFmtId="0" fontId="9" fillId="0" borderId="44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9" fillId="0" borderId="79" xfId="1" applyFont="1" applyBorder="1">
      <alignment vertical="center"/>
    </xf>
    <xf numFmtId="0" fontId="9" fillId="0" borderId="30" xfId="1" applyFont="1" applyBorder="1">
      <alignment vertical="center"/>
    </xf>
    <xf numFmtId="38" fontId="9" fillId="7" borderId="30" xfId="2" applyFont="1" applyFill="1" applyBorder="1">
      <alignment vertical="center"/>
    </xf>
    <xf numFmtId="38" fontId="9" fillId="7" borderId="31" xfId="2" applyFont="1" applyFill="1" applyBorder="1">
      <alignment vertical="center"/>
    </xf>
    <xf numFmtId="38" fontId="9" fillId="7" borderId="80" xfId="2" applyFont="1" applyFill="1" applyBorder="1">
      <alignment vertical="center"/>
    </xf>
    <xf numFmtId="0" fontId="9" fillId="0" borderId="13" xfId="1" applyFont="1" applyBorder="1">
      <alignment vertical="center"/>
    </xf>
    <xf numFmtId="0" fontId="9" fillId="0" borderId="81" xfId="1" applyFont="1" applyBorder="1">
      <alignment vertical="center"/>
    </xf>
    <xf numFmtId="0" fontId="9" fillId="0" borderId="39" xfId="1" applyFont="1" applyBorder="1">
      <alignment vertical="center"/>
    </xf>
    <xf numFmtId="38" fontId="6" fillId="0" borderId="39" xfId="2" applyFont="1" applyBorder="1">
      <alignment vertical="center"/>
    </xf>
    <xf numFmtId="38" fontId="6" fillId="0" borderId="82" xfId="2" applyFont="1" applyBorder="1">
      <alignment vertical="center"/>
    </xf>
    <xf numFmtId="38" fontId="6" fillId="0" borderId="83" xfId="2" applyFont="1" applyBorder="1">
      <alignment vertical="center"/>
    </xf>
    <xf numFmtId="38" fontId="6" fillId="0" borderId="84" xfId="2" applyFont="1" applyBorder="1">
      <alignment vertical="center"/>
    </xf>
    <xf numFmtId="0" fontId="9" fillId="0" borderId="32" xfId="1" applyFont="1" applyBorder="1">
      <alignment vertical="center"/>
    </xf>
    <xf numFmtId="0" fontId="9" fillId="0" borderId="85" xfId="1" applyFont="1" applyBorder="1">
      <alignment vertical="center"/>
    </xf>
    <xf numFmtId="0" fontId="9" fillId="0" borderId="86" xfId="1" applyFont="1" applyBorder="1">
      <alignment vertical="center"/>
    </xf>
    <xf numFmtId="38" fontId="6" fillId="0" borderId="86" xfId="2" applyFont="1" applyBorder="1">
      <alignment vertical="center"/>
    </xf>
    <xf numFmtId="38" fontId="6" fillId="0" borderId="87" xfId="2" applyFont="1" applyBorder="1">
      <alignment vertical="center"/>
    </xf>
    <xf numFmtId="38" fontId="6" fillId="0" borderId="88" xfId="2" applyFont="1" applyBorder="1">
      <alignment vertical="center"/>
    </xf>
    <xf numFmtId="38" fontId="6" fillId="0" borderId="89" xfId="2" applyFont="1" applyBorder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38" fontId="6" fillId="0" borderId="16" xfId="2" applyFont="1" applyBorder="1">
      <alignment vertical="center"/>
    </xf>
    <xf numFmtId="38" fontId="6" fillId="0" borderId="30" xfId="2" applyFont="1" applyBorder="1">
      <alignment vertical="center"/>
    </xf>
    <xf numFmtId="38" fontId="9" fillId="0" borderId="39" xfId="2" applyFont="1" applyFill="1" applyBorder="1">
      <alignment vertical="center"/>
    </xf>
    <xf numFmtId="38" fontId="9" fillId="0" borderId="82" xfId="2" applyFont="1" applyFill="1" applyBorder="1">
      <alignment vertical="center"/>
    </xf>
    <xf numFmtId="38" fontId="9" fillId="0" borderId="90" xfId="2" applyFont="1" applyFill="1" applyBorder="1">
      <alignment vertical="center"/>
    </xf>
    <xf numFmtId="38" fontId="9" fillId="0" borderId="83" xfId="2" applyFont="1" applyFill="1" applyBorder="1">
      <alignment vertical="center"/>
    </xf>
    <xf numFmtId="38" fontId="9" fillId="0" borderId="84" xfId="2" applyFont="1" applyFill="1" applyBorder="1">
      <alignment vertical="center"/>
    </xf>
    <xf numFmtId="38" fontId="9" fillId="0" borderId="23" xfId="2" applyFont="1" applyFill="1" applyBorder="1">
      <alignment vertical="center"/>
    </xf>
    <xf numFmtId="38" fontId="9" fillId="0" borderId="26" xfId="2" applyFont="1" applyFill="1" applyBorder="1">
      <alignment vertical="center"/>
    </xf>
    <xf numFmtId="38" fontId="9" fillId="0" borderId="28" xfId="2" applyFont="1" applyFill="1" applyBorder="1">
      <alignment vertical="center"/>
    </xf>
    <xf numFmtId="38" fontId="9" fillId="0" borderId="27" xfId="2" applyFont="1" applyFill="1" applyBorder="1">
      <alignment vertical="center"/>
    </xf>
    <xf numFmtId="38" fontId="9" fillId="0" borderId="61" xfId="2" applyFont="1" applyFill="1" applyBorder="1">
      <alignment vertical="center"/>
    </xf>
    <xf numFmtId="38" fontId="6" fillId="0" borderId="91" xfId="2" applyFont="1" applyBorder="1">
      <alignment vertical="center"/>
    </xf>
    <xf numFmtId="0" fontId="9" fillId="2" borderId="92" xfId="1" applyFont="1" applyFill="1" applyBorder="1" applyAlignment="1">
      <alignment horizontal="center" vertical="center"/>
    </xf>
    <xf numFmtId="0" fontId="11" fillId="0" borderId="60" xfId="1" applyFont="1" applyBorder="1" applyAlignment="1">
      <alignment horizontal="right" vertical="center"/>
    </xf>
    <xf numFmtId="0" fontId="6" fillId="3" borderId="56" xfId="0" applyFont="1" applyFill="1" applyBorder="1">
      <alignment vertical="center"/>
    </xf>
    <xf numFmtId="0" fontId="6" fillId="3" borderId="26" xfId="0" applyFont="1" applyFill="1" applyBorder="1">
      <alignment vertical="center"/>
    </xf>
    <xf numFmtId="38" fontId="9" fillId="3" borderId="96" xfId="2" applyFont="1" applyFill="1" applyBorder="1">
      <alignment vertical="center"/>
    </xf>
    <xf numFmtId="38" fontId="9" fillId="3" borderId="29" xfId="2" applyFont="1" applyFill="1" applyBorder="1">
      <alignment vertical="center"/>
    </xf>
    <xf numFmtId="38" fontId="9" fillId="3" borderId="12" xfId="2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6" fillId="3" borderId="10" xfId="0" applyFont="1" applyFill="1" applyBorder="1">
      <alignment vertical="center"/>
    </xf>
    <xf numFmtId="0" fontId="6" fillId="3" borderId="35" xfId="0" applyFont="1" applyFill="1" applyBorder="1">
      <alignment vertical="center"/>
    </xf>
    <xf numFmtId="38" fontId="9" fillId="3" borderId="99" xfId="2" applyFont="1" applyFill="1" applyBorder="1">
      <alignment vertical="center"/>
    </xf>
    <xf numFmtId="38" fontId="9" fillId="3" borderId="37" xfId="2" applyFont="1" applyFill="1" applyBorder="1">
      <alignment vertical="center"/>
    </xf>
    <xf numFmtId="38" fontId="6" fillId="7" borderId="13" xfId="2" applyFont="1" applyFill="1" applyBorder="1">
      <alignment vertical="center"/>
    </xf>
    <xf numFmtId="38" fontId="6" fillId="7" borderId="2" xfId="2" applyFont="1" applyFill="1" applyBorder="1">
      <alignment vertical="center"/>
    </xf>
    <xf numFmtId="0" fontId="0" fillId="0" borderId="82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13" fillId="0" borderId="0" xfId="0" applyFont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102" xfId="0" applyBorder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44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3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/>
    <xf numFmtId="0" fontId="6" fillId="0" borderId="38" xfId="0" applyFont="1" applyBorder="1" applyAlignment="1"/>
    <xf numFmtId="41" fontId="6" fillId="0" borderId="8" xfId="0" applyNumberFormat="1" applyFont="1" applyBorder="1" applyAlignment="1">
      <alignment horizontal="right"/>
    </xf>
    <xf numFmtId="41" fontId="6" fillId="0" borderId="38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 vertical="center"/>
    </xf>
    <xf numFmtId="41" fontId="6" fillId="0" borderId="13" xfId="0" applyNumberFormat="1" applyFont="1" applyBorder="1" applyAlignment="1">
      <alignment horizontal="right"/>
    </xf>
    <xf numFmtId="41" fontId="6" fillId="0" borderId="38" xfId="0" applyNumberFormat="1" applyFont="1" applyBorder="1" applyAlignment="1"/>
    <xf numFmtId="41" fontId="6" fillId="0" borderId="2" xfId="0" applyNumberFormat="1" applyFont="1" applyBorder="1" applyAlignment="1">
      <alignment horizontal="right"/>
    </xf>
    <xf numFmtId="0" fontId="6" fillId="0" borderId="6" xfId="0" applyFont="1" applyBorder="1" applyAlignment="1"/>
    <xf numFmtId="41" fontId="6" fillId="0" borderId="0" xfId="0" applyNumberFormat="1" applyFont="1" applyAlignment="1"/>
    <xf numFmtId="41" fontId="6" fillId="0" borderId="13" xfId="0" applyNumberFormat="1" applyFont="1" applyBorder="1" applyAlignment="1"/>
    <xf numFmtId="41" fontId="6" fillId="0" borderId="40" xfId="0" applyNumberFormat="1" applyFont="1" applyBorder="1" applyAlignment="1"/>
    <xf numFmtId="41" fontId="6" fillId="0" borderId="41" xfId="0" applyNumberFormat="1" applyFont="1" applyBorder="1" applyAlignment="1"/>
    <xf numFmtId="41" fontId="6" fillId="0" borderId="43" xfId="0" applyNumberFormat="1" applyFont="1" applyBorder="1" applyAlignment="1"/>
    <xf numFmtId="41" fontId="6" fillId="0" borderId="93" xfId="0" applyNumberFormat="1" applyFont="1" applyBorder="1" applyAlignment="1"/>
    <xf numFmtId="0" fontId="6" fillId="0" borderId="38" xfId="0" applyFont="1" applyBorder="1" applyAlignment="1">
      <alignment horizontal="left" vertical="center" shrinkToFit="1"/>
    </xf>
    <xf numFmtId="41" fontId="6" fillId="0" borderId="17" xfId="0" applyNumberFormat="1" applyFont="1" applyBorder="1" applyAlignment="1"/>
    <xf numFmtId="41" fontId="6" fillId="0" borderId="18" xfId="0" applyNumberFormat="1" applyFont="1" applyBorder="1" applyAlignment="1"/>
    <xf numFmtId="38" fontId="9" fillId="3" borderId="18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6" fillId="4" borderId="110" xfId="0" applyFont="1" applyFill="1" applyBorder="1">
      <alignment vertical="center"/>
    </xf>
    <xf numFmtId="0" fontId="6" fillId="4" borderId="109" xfId="0" applyFont="1" applyFill="1" applyBorder="1">
      <alignment vertical="center"/>
    </xf>
    <xf numFmtId="0" fontId="6" fillId="4" borderId="108" xfId="0" applyFont="1" applyFill="1" applyBorder="1">
      <alignment vertical="center"/>
    </xf>
    <xf numFmtId="0" fontId="6" fillId="4" borderId="107" xfId="0" applyFont="1" applyFill="1" applyBorder="1">
      <alignment vertical="center"/>
    </xf>
    <xf numFmtId="0" fontId="6" fillId="4" borderId="0" xfId="0" applyFont="1" applyFill="1">
      <alignment vertical="center"/>
    </xf>
    <xf numFmtId="42" fontId="9" fillId="4" borderId="0" xfId="2" applyNumberFormat="1" applyFont="1" applyFill="1" applyBorder="1">
      <alignment vertical="center"/>
    </xf>
    <xf numFmtId="0" fontId="6" fillId="4" borderId="106" xfId="0" applyFont="1" applyFill="1" applyBorder="1">
      <alignment vertical="center"/>
    </xf>
    <xf numFmtId="42" fontId="9" fillId="4" borderId="11" xfId="2" applyNumberFormat="1" applyFont="1" applyFill="1" applyBorder="1">
      <alignment vertical="center"/>
    </xf>
    <xf numFmtId="178" fontId="6" fillId="4" borderId="0" xfId="0" applyNumberFormat="1" applyFont="1" applyFill="1">
      <alignment vertical="center"/>
    </xf>
    <xf numFmtId="42" fontId="9" fillId="3" borderId="0" xfId="2" applyNumberFormat="1" applyFont="1" applyFill="1" applyBorder="1">
      <alignment vertical="center"/>
    </xf>
    <xf numFmtId="0" fontId="6" fillId="4" borderId="0" xfId="0" applyFont="1" applyFill="1" applyAlignment="1">
      <alignment vertical="center" shrinkToFit="1"/>
    </xf>
    <xf numFmtId="0" fontId="6" fillId="4" borderId="105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42" fontId="6" fillId="4" borderId="104" xfId="0" applyNumberFormat="1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6" fillId="0" borderId="2" xfId="0" applyFont="1" applyBorder="1">
      <alignment vertical="center"/>
    </xf>
    <xf numFmtId="42" fontId="9" fillId="3" borderId="13" xfId="2" applyNumberFormat="1" applyFont="1" applyFill="1" applyBorder="1">
      <alignment vertical="center"/>
    </xf>
    <xf numFmtId="38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1" fontId="9" fillId="0" borderId="7" xfId="0" applyNumberFormat="1" applyFont="1" applyBorder="1">
      <alignment vertical="center"/>
    </xf>
    <xf numFmtId="41" fontId="9" fillId="0" borderId="5" xfId="0" applyNumberFormat="1" applyFont="1" applyBorder="1">
      <alignment vertical="center"/>
    </xf>
    <xf numFmtId="0" fontId="9" fillId="0" borderId="8" xfId="0" applyFont="1" applyBorder="1" applyAlignment="1">
      <alignment horizontal="left" vertical="center"/>
    </xf>
    <xf numFmtId="176" fontId="9" fillId="0" borderId="0" xfId="2" applyNumberFormat="1" applyFont="1" applyFill="1" applyBorder="1" applyAlignment="1">
      <alignment vertical="center"/>
    </xf>
    <xf numFmtId="41" fontId="9" fillId="0" borderId="8" xfId="0" applyNumberFormat="1" applyFont="1" applyBorder="1">
      <alignment vertical="center"/>
    </xf>
    <xf numFmtId="176" fontId="9" fillId="3" borderId="0" xfId="2" applyNumberFormat="1" applyFont="1" applyFill="1" applyBorder="1" applyAlignment="1">
      <alignment vertical="center"/>
    </xf>
    <xf numFmtId="41" fontId="9" fillId="0" borderId="2" xfId="0" applyNumberFormat="1" applyFont="1" applyBorder="1">
      <alignment vertical="center"/>
    </xf>
    <xf numFmtId="176" fontId="9" fillId="0" borderId="3" xfId="2" applyNumberFormat="1" applyFont="1" applyFill="1" applyBorder="1" applyAlignment="1">
      <alignment vertical="center"/>
    </xf>
    <xf numFmtId="41" fontId="9" fillId="0" borderId="10" xfId="0" applyNumberFormat="1" applyFont="1" applyBorder="1">
      <alignment vertical="center"/>
    </xf>
    <xf numFmtId="0" fontId="9" fillId="0" borderId="10" xfId="0" applyFont="1" applyBorder="1" applyAlignment="1">
      <alignment horizontal="left" vertical="center"/>
    </xf>
    <xf numFmtId="176" fontId="9" fillId="3" borderId="11" xfId="2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1" fontId="9" fillId="0" borderId="0" xfId="0" applyNumberFormat="1" applyFont="1">
      <alignment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3" borderId="9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vertical="center"/>
    </xf>
    <xf numFmtId="176" fontId="9" fillId="0" borderId="9" xfId="2" applyNumberFormat="1" applyFont="1" applyBorder="1">
      <alignment vertical="center"/>
    </xf>
    <xf numFmtId="176" fontId="9" fillId="0" borderId="12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38" fontId="0" fillId="0" borderId="0" xfId="0" applyNumberFormat="1">
      <alignment vertical="center"/>
    </xf>
    <xf numFmtId="0" fontId="6" fillId="0" borderId="42" xfId="0" applyFont="1" applyBorder="1">
      <alignment vertical="center"/>
    </xf>
    <xf numFmtId="177" fontId="6" fillId="0" borderId="13" xfId="0" applyNumberFormat="1" applyFont="1" applyBorder="1">
      <alignment vertical="center"/>
    </xf>
    <xf numFmtId="3" fontId="6" fillId="0" borderId="42" xfId="0" applyNumberFormat="1" applyFont="1" applyBorder="1" applyAlignment="1">
      <alignment vertical="center" shrinkToFit="1"/>
    </xf>
    <xf numFmtId="3" fontId="6" fillId="3" borderId="23" xfId="0" applyNumberFormat="1" applyFont="1" applyFill="1" applyBorder="1" applyAlignment="1">
      <alignment vertical="center" shrinkToFit="1"/>
    </xf>
    <xf numFmtId="3" fontId="6" fillId="0" borderId="23" xfId="0" applyNumberFormat="1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3" fontId="6" fillId="0" borderId="39" xfId="0" applyNumberFormat="1" applyFont="1" applyBorder="1" applyAlignment="1">
      <alignment vertical="center" shrinkToFit="1"/>
    </xf>
    <xf numFmtId="3" fontId="6" fillId="3" borderId="39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3" fontId="6" fillId="0" borderId="30" xfId="0" applyNumberFormat="1" applyFont="1" applyBorder="1" applyAlignment="1">
      <alignment vertical="center" shrinkToFit="1"/>
    </xf>
    <xf numFmtId="177" fontId="6" fillId="0" borderId="18" xfId="0" applyNumberFormat="1" applyFont="1" applyBorder="1">
      <alignment vertical="center"/>
    </xf>
    <xf numFmtId="0" fontId="9" fillId="0" borderId="0" xfId="1" applyFont="1" applyAlignment="1">
      <alignment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0" borderId="38" xfId="1" applyFont="1" applyBorder="1" applyAlignment="1">
      <alignment vertical="center" shrinkToFit="1"/>
    </xf>
    <xf numFmtId="0" fontId="11" fillId="0" borderId="38" xfId="1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7" xfId="0" applyFont="1" applyBorder="1" applyAlignment="1"/>
    <xf numFmtId="0" fontId="6" fillId="4" borderId="0" xfId="0" applyFont="1" applyFill="1" applyAlignment="1">
      <alignment horizontal="right" vertical="center"/>
    </xf>
    <xf numFmtId="42" fontId="9" fillId="4" borderId="3" xfId="2" applyNumberFormat="1" applyFont="1" applyFill="1" applyBorder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38" fontId="9" fillId="3" borderId="13" xfId="2" applyFont="1" applyFill="1" applyBorder="1" applyAlignment="1">
      <alignment vertical="center"/>
    </xf>
    <xf numFmtId="0" fontId="6" fillId="3" borderId="96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11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41" fontId="0" fillId="0" borderId="112" xfId="0" applyNumberFormat="1" applyBorder="1">
      <alignment vertical="center"/>
    </xf>
    <xf numFmtId="0" fontId="0" fillId="0" borderId="112" xfId="0" applyBorder="1">
      <alignment vertical="center"/>
    </xf>
    <xf numFmtId="0" fontId="0" fillId="2" borderId="112" xfId="0" applyFill="1" applyBorder="1" applyAlignment="1">
      <alignment horizontal="right" vertical="center"/>
    </xf>
    <xf numFmtId="176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38" fontId="6" fillId="0" borderId="19" xfId="2" applyFont="1" applyFill="1" applyBorder="1" applyAlignment="1">
      <alignment horizontal="left" vertical="center" wrapText="1"/>
    </xf>
    <xf numFmtId="38" fontId="6" fillId="0" borderId="20" xfId="2" applyFont="1" applyFill="1" applyBorder="1" applyAlignment="1">
      <alignment horizontal="left" vertical="center" wrapText="1"/>
    </xf>
    <xf numFmtId="176" fontId="6" fillId="0" borderId="5" xfId="2" applyNumberFormat="1" applyFont="1" applyFill="1" applyBorder="1">
      <alignment vertical="center"/>
    </xf>
    <xf numFmtId="176" fontId="6" fillId="3" borderId="21" xfId="2" applyNumberFormat="1" applyFont="1" applyFill="1" applyBorder="1">
      <alignment vertical="center"/>
    </xf>
    <xf numFmtId="176" fontId="6" fillId="0" borderId="7" xfId="2" applyNumberFormat="1" applyFont="1" applyFill="1" applyBorder="1">
      <alignment vertical="center"/>
    </xf>
    <xf numFmtId="176" fontId="6" fillId="0" borderId="13" xfId="2" applyNumberFormat="1" applyFont="1" applyFill="1" applyBorder="1">
      <alignment vertical="center"/>
    </xf>
    <xf numFmtId="38" fontId="6" fillId="0" borderId="24" xfId="2" applyFont="1" applyFill="1" applyBorder="1" applyAlignment="1">
      <alignment horizontal="left" vertical="center" wrapText="1"/>
    </xf>
    <xf numFmtId="38" fontId="6" fillId="0" borderId="25" xfId="2" applyFont="1" applyFill="1" applyBorder="1" applyAlignment="1">
      <alignment horizontal="left" vertical="center" wrapText="1"/>
    </xf>
    <xf numFmtId="176" fontId="6" fillId="0" borderId="26" xfId="2" applyNumberFormat="1" applyFont="1" applyFill="1" applyBorder="1">
      <alignment vertical="center"/>
    </xf>
    <xf numFmtId="176" fontId="6" fillId="3" borderId="27" xfId="2" applyNumberFormat="1" applyFont="1" applyFill="1" applyBorder="1">
      <alignment vertical="center"/>
    </xf>
    <xf numFmtId="176" fontId="6" fillId="0" borderId="29" xfId="2" applyNumberFormat="1" applyFont="1" applyFill="1" applyBorder="1">
      <alignment vertical="center"/>
    </xf>
    <xf numFmtId="38" fontId="6" fillId="0" borderId="24" xfId="2" applyFont="1" applyFill="1" applyBorder="1" applyAlignment="1">
      <alignment horizontal="left" vertical="center" shrinkToFit="1"/>
    </xf>
    <xf numFmtId="38" fontId="6" fillId="0" borderId="25" xfId="2" applyFont="1" applyFill="1" applyBorder="1" applyAlignment="1">
      <alignment horizontal="left" vertical="center" shrinkToFit="1"/>
    </xf>
    <xf numFmtId="38" fontId="6" fillId="0" borderId="33" xfId="2" applyFont="1" applyFill="1" applyBorder="1" applyAlignment="1">
      <alignment horizontal="left" vertical="center" wrapText="1"/>
    </xf>
    <xf numFmtId="38" fontId="6" fillId="0" borderId="34" xfId="2" applyFont="1" applyFill="1" applyBorder="1" applyAlignment="1">
      <alignment horizontal="left" vertical="center" wrapText="1"/>
    </xf>
    <xf numFmtId="176" fontId="6" fillId="0" borderId="35" xfId="2" applyNumberFormat="1" applyFont="1" applyFill="1" applyBorder="1">
      <alignment vertical="center"/>
    </xf>
    <xf numFmtId="176" fontId="6" fillId="0" borderId="36" xfId="0" applyNumberFormat="1" applyFont="1" applyBorder="1">
      <alignment vertical="center"/>
    </xf>
    <xf numFmtId="176" fontId="6" fillId="0" borderId="37" xfId="0" applyNumberFormat="1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8" fontId="6" fillId="0" borderId="13" xfId="0" applyNumberFormat="1" applyFont="1" applyBorder="1">
      <alignment vertical="center"/>
    </xf>
    <xf numFmtId="38" fontId="6" fillId="0" borderId="18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41" fontId="0" fillId="0" borderId="0" xfId="0" applyNumberFormat="1">
      <alignment vertical="center"/>
    </xf>
    <xf numFmtId="3" fontId="6" fillId="0" borderId="0" xfId="0" applyNumberFormat="1" applyFont="1" applyAlignment="1"/>
    <xf numFmtId="0" fontId="6" fillId="9" borderId="38" xfId="0" applyFont="1" applyFill="1" applyBorder="1" applyAlignment="1">
      <alignment horizontal="left" vertical="center"/>
    </xf>
    <xf numFmtId="41" fontId="11" fillId="0" borderId="38" xfId="0" applyNumberFormat="1" applyFont="1" applyBorder="1" applyAlignment="1"/>
    <xf numFmtId="38" fontId="9" fillId="0" borderId="0" xfId="1" applyNumberFormat="1" applyFont="1">
      <alignment vertical="center"/>
    </xf>
    <xf numFmtId="0" fontId="6" fillId="2" borderId="14" xfId="0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vertical="center" shrinkToFit="1"/>
    </xf>
    <xf numFmtId="41" fontId="6" fillId="0" borderId="6" xfId="0" applyNumberFormat="1" applyFont="1" applyBorder="1" applyAlignment="1"/>
    <xf numFmtId="41" fontId="6" fillId="3" borderId="8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38" fontId="0" fillId="0" borderId="40" xfId="0" applyNumberFormat="1" applyBorder="1" applyAlignment="1">
      <alignment horizontal="center" vertical="center"/>
    </xf>
    <xf numFmtId="38" fontId="0" fillId="0" borderId="41" xfId="0" applyNumberFormat="1" applyBorder="1" applyAlignment="1">
      <alignment horizontal="center" vertical="center"/>
    </xf>
    <xf numFmtId="38" fontId="0" fillId="0" borderId="43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0" fillId="0" borderId="40" xfId="2" applyFont="1" applyBorder="1" applyAlignment="1">
      <alignment horizontal="center" vertical="center"/>
    </xf>
    <xf numFmtId="38" fontId="0" fillId="0" borderId="41" xfId="2" applyFont="1" applyBorder="1" applyAlignment="1">
      <alignment horizontal="center" vertical="center"/>
    </xf>
    <xf numFmtId="38" fontId="0" fillId="0" borderId="43" xfId="2" applyFont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4">
    <cellStyle name="桁区切り 2" xfId="2" xr:uid="{214CDA6A-E821-48FF-AE6E-603F29DF655A}"/>
    <cellStyle name="桁区切り 3" xfId="3" xr:uid="{00BFF38D-A8F5-42FF-A031-DDAD7EE1141C}"/>
    <cellStyle name="標準" xfId="0" builtinId="0"/>
    <cellStyle name="標準 2" xfId="1" xr:uid="{8921A83A-BF0A-4DBF-B50A-1AA08438E380}"/>
  </cellStyles>
  <dxfs count="0"/>
  <tableStyles count="0" defaultTableStyle="TableStyleMedium2" defaultPivotStyle="PivotStyleLight16"/>
  <colors>
    <mruColors>
      <color rgb="FFCCFFFF"/>
      <color rgb="FFCCFFCC"/>
      <color rgb="FF66CCFF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716-7DBF-47BE-B80D-E146D4911902}">
  <sheetPr>
    <tabColor rgb="FF66CCFF"/>
    <pageSetUpPr fitToPage="1"/>
  </sheetPr>
  <dimension ref="A1:F81"/>
  <sheetViews>
    <sheetView topLeftCell="A39" zoomScale="113" workbookViewId="0">
      <selection activeCell="J31" sqref="J31"/>
    </sheetView>
  </sheetViews>
  <sheetFormatPr defaultColWidth="8.625" defaultRowHeight="17.100000000000001" customHeight="1" x14ac:dyDescent="0.4"/>
  <cols>
    <col min="1" max="1" width="25.625" style="254" customWidth="1"/>
    <col min="2" max="2" width="15.625" style="254" customWidth="1"/>
    <col min="3" max="3" width="25.625" style="254" customWidth="1"/>
    <col min="4" max="4" width="15.625" style="254" customWidth="1"/>
    <col min="5" max="5" width="13.75" style="254" bestFit="1" customWidth="1"/>
    <col min="6" max="6" width="14.375" style="254" bestFit="1" customWidth="1"/>
    <col min="7" max="16384" width="8.625" style="254"/>
  </cols>
  <sheetData>
    <row r="1" spans="1:6" ht="17.100000000000001" customHeight="1" x14ac:dyDescent="0.4">
      <c r="A1" s="253" t="str">
        <f>チェックシート!$C$2</f>
        <v>白子町</v>
      </c>
      <c r="B1" s="22"/>
      <c r="C1" s="22"/>
      <c r="D1" s="205" t="s">
        <v>115</v>
      </c>
    </row>
    <row r="2" spans="1:6" ht="17.100000000000001" customHeight="1" x14ac:dyDescent="0.4">
      <c r="A2" s="364" t="s">
        <v>603</v>
      </c>
      <c r="B2" s="364"/>
      <c r="C2" s="364"/>
      <c r="D2" s="364"/>
    </row>
    <row r="3" spans="1:6" ht="17.100000000000001" customHeight="1" x14ac:dyDescent="0.4">
      <c r="A3" s="365" t="str">
        <f>"（令和"&amp;チェックシート!C3&amp;"年 4月 1日）"</f>
        <v>（令和5年 4月 1日）</v>
      </c>
      <c r="B3" s="366"/>
      <c r="C3" s="366"/>
      <c r="D3" s="366"/>
    </row>
    <row r="4" spans="1:6" ht="17.100000000000001" customHeight="1" x14ac:dyDescent="0.4">
      <c r="D4" s="255" t="s">
        <v>116</v>
      </c>
    </row>
    <row r="5" spans="1:6" ht="17.100000000000001" customHeight="1" x14ac:dyDescent="0.4">
      <c r="A5" s="256" t="s">
        <v>117</v>
      </c>
      <c r="B5" s="257" t="s">
        <v>118</v>
      </c>
      <c r="C5" s="256" t="s">
        <v>117</v>
      </c>
      <c r="D5" s="258" t="s">
        <v>118</v>
      </c>
    </row>
    <row r="6" spans="1:6" ht="17.100000000000001" customHeight="1" x14ac:dyDescent="0.4">
      <c r="A6" s="259" t="s">
        <v>119</v>
      </c>
      <c r="B6" s="260"/>
      <c r="C6" s="262" t="s">
        <v>120</v>
      </c>
      <c r="D6" s="261"/>
    </row>
    <row r="7" spans="1:6" ht="17.100000000000001" customHeight="1" x14ac:dyDescent="0.4">
      <c r="A7" s="263" t="s">
        <v>121</v>
      </c>
      <c r="B7" s="264">
        <f>B8+B36+B39</f>
        <v>12738338146</v>
      </c>
      <c r="C7" s="265" t="s">
        <v>122</v>
      </c>
      <c r="D7" s="275">
        <f>SUM(D8:D12)</f>
        <v>5106415532</v>
      </c>
      <c r="F7" s="354"/>
    </row>
    <row r="8" spans="1:6" ht="17.100000000000001" customHeight="1" x14ac:dyDescent="0.4">
      <c r="A8" s="263" t="s">
        <v>123</v>
      </c>
      <c r="B8" s="264">
        <f>B9+B25+B34+B35</f>
        <v>10956447876</v>
      </c>
      <c r="C8" s="265" t="s">
        <v>124</v>
      </c>
      <c r="D8" s="276">
        <v>3799960532</v>
      </c>
      <c r="F8" s="354"/>
    </row>
    <row r="9" spans="1:6" ht="17.100000000000001" customHeight="1" x14ac:dyDescent="0.4">
      <c r="A9" s="263" t="s">
        <v>125</v>
      </c>
      <c r="B9" s="264">
        <f>SUM(B10:B24)</f>
        <v>5736338328</v>
      </c>
      <c r="C9" s="265" t="s">
        <v>126</v>
      </c>
      <c r="D9" s="276"/>
      <c r="F9" s="354"/>
    </row>
    <row r="10" spans="1:6" ht="17.100000000000001" customHeight="1" x14ac:dyDescent="0.4">
      <c r="A10" s="263" t="s">
        <v>127</v>
      </c>
      <c r="B10" s="266">
        <v>2055705051</v>
      </c>
      <c r="C10" s="265" t="s">
        <v>128</v>
      </c>
      <c r="D10" s="276">
        <v>1224338000</v>
      </c>
      <c r="F10" s="354"/>
    </row>
    <row r="11" spans="1:6" ht="17.100000000000001" customHeight="1" x14ac:dyDescent="0.4">
      <c r="A11" s="263" t="s">
        <v>129</v>
      </c>
      <c r="B11" s="266"/>
      <c r="C11" s="265" t="s">
        <v>130</v>
      </c>
      <c r="D11" s="276"/>
      <c r="F11" s="354"/>
    </row>
    <row r="12" spans="1:6" ht="17.100000000000001" customHeight="1" x14ac:dyDescent="0.4">
      <c r="A12" s="263" t="s">
        <v>131</v>
      </c>
      <c r="B12" s="266">
        <v>8287032682</v>
      </c>
      <c r="C12" s="265" t="s">
        <v>132</v>
      </c>
      <c r="D12" s="276">
        <v>82117000</v>
      </c>
      <c r="F12" s="354"/>
    </row>
    <row r="13" spans="1:6" ht="17.100000000000001" customHeight="1" x14ac:dyDescent="0.4">
      <c r="A13" s="263" t="s">
        <v>133</v>
      </c>
      <c r="B13" s="266">
        <v>-5853649778</v>
      </c>
      <c r="C13" s="265" t="s">
        <v>134</v>
      </c>
      <c r="D13" s="277">
        <f>SUM(D14:D21)</f>
        <v>457973837</v>
      </c>
      <c r="F13" s="354"/>
    </row>
    <row r="14" spans="1:6" ht="17.100000000000001" customHeight="1" x14ac:dyDescent="0.4">
      <c r="A14" s="263" t="s">
        <v>135</v>
      </c>
      <c r="B14" s="266">
        <v>2520918780</v>
      </c>
      <c r="C14" s="265" t="s">
        <v>136</v>
      </c>
      <c r="D14" s="276">
        <v>375852129</v>
      </c>
      <c r="F14" s="354"/>
    </row>
    <row r="15" spans="1:6" ht="17.100000000000001" customHeight="1" x14ac:dyDescent="0.4">
      <c r="A15" s="263" t="s">
        <v>137</v>
      </c>
      <c r="B15" s="266">
        <v>-1282639347</v>
      </c>
      <c r="C15" s="265" t="s">
        <v>138</v>
      </c>
      <c r="D15" s="276"/>
      <c r="F15" s="354"/>
    </row>
    <row r="16" spans="1:6" ht="17.100000000000001" customHeight="1" x14ac:dyDescent="0.4">
      <c r="A16" s="263" t="s">
        <v>139</v>
      </c>
      <c r="B16" s="266"/>
      <c r="C16" s="265" t="s">
        <v>140</v>
      </c>
      <c r="D16" s="276"/>
      <c r="F16" s="354"/>
    </row>
    <row r="17" spans="1:6" ht="17.100000000000001" customHeight="1" x14ac:dyDescent="0.4">
      <c r="A17" s="263" t="s">
        <v>141</v>
      </c>
      <c r="B17" s="266"/>
      <c r="C17" s="265" t="s">
        <v>142</v>
      </c>
      <c r="D17" s="276"/>
      <c r="F17" s="354"/>
    </row>
    <row r="18" spans="1:6" ht="17.100000000000001" customHeight="1" x14ac:dyDescent="0.4">
      <c r="A18" s="263" t="s">
        <v>143</v>
      </c>
      <c r="B18" s="266"/>
      <c r="C18" s="265" t="s">
        <v>144</v>
      </c>
      <c r="D18" s="276"/>
      <c r="F18" s="354"/>
    </row>
    <row r="19" spans="1:6" ht="17.100000000000001" customHeight="1" x14ac:dyDescent="0.4">
      <c r="A19" s="263" t="s">
        <v>145</v>
      </c>
      <c r="B19" s="266"/>
      <c r="C19" s="265" t="s">
        <v>146</v>
      </c>
      <c r="D19" s="276">
        <v>68436708</v>
      </c>
      <c r="F19" s="354"/>
    </row>
    <row r="20" spans="1:6" ht="17.100000000000001" customHeight="1" x14ac:dyDescent="0.4">
      <c r="A20" s="263" t="s">
        <v>147</v>
      </c>
      <c r="B20" s="266"/>
      <c r="C20" s="265" t="s">
        <v>148</v>
      </c>
      <c r="D20" s="276"/>
      <c r="F20" s="354"/>
    </row>
    <row r="21" spans="1:6" ht="17.100000000000001" customHeight="1" x14ac:dyDescent="0.4">
      <c r="A21" s="263" t="s">
        <v>149</v>
      </c>
      <c r="B21" s="266"/>
      <c r="C21" s="265" t="s">
        <v>132</v>
      </c>
      <c r="D21" s="276">
        <v>13685000</v>
      </c>
      <c r="F21" s="354"/>
    </row>
    <row r="22" spans="1:6" ht="17.100000000000001" customHeight="1" x14ac:dyDescent="0.4">
      <c r="A22" s="263" t="s">
        <v>150</v>
      </c>
      <c r="B22" s="266"/>
      <c r="C22" s="267" t="s">
        <v>151</v>
      </c>
      <c r="D22" s="278">
        <f>D7+D13</f>
        <v>5564389369</v>
      </c>
      <c r="F22" s="354"/>
    </row>
    <row r="23" spans="1:6" ht="17.100000000000001" customHeight="1" x14ac:dyDescent="0.4">
      <c r="A23" s="263" t="s">
        <v>152</v>
      </c>
      <c r="B23" s="266"/>
      <c r="C23" s="265" t="s">
        <v>153</v>
      </c>
      <c r="D23" s="277"/>
      <c r="F23" s="354"/>
    </row>
    <row r="24" spans="1:6" ht="17.100000000000001" customHeight="1" x14ac:dyDescent="0.4">
      <c r="A24" s="263" t="s">
        <v>154</v>
      </c>
      <c r="B24" s="266">
        <v>8970940</v>
      </c>
      <c r="C24" s="265" t="s">
        <v>155</v>
      </c>
      <c r="D24" s="277">
        <f>B7+B55+B56</f>
        <v>14175831146</v>
      </c>
      <c r="F24" s="354"/>
    </row>
    <row r="25" spans="1:6" ht="17.100000000000001" customHeight="1" x14ac:dyDescent="0.4">
      <c r="A25" s="263" t="s">
        <v>156</v>
      </c>
      <c r="B25" s="264">
        <f>SUM(B26:B33)</f>
        <v>5132321257</v>
      </c>
      <c r="C25" s="265" t="s">
        <v>157</v>
      </c>
      <c r="D25" s="277">
        <f>B62-D22-D24</f>
        <v>-5207501767</v>
      </c>
      <c r="F25" s="354"/>
    </row>
    <row r="26" spans="1:6" ht="17.100000000000001" customHeight="1" x14ac:dyDescent="0.4">
      <c r="A26" s="263" t="s">
        <v>127</v>
      </c>
      <c r="B26" s="266">
        <v>68949466</v>
      </c>
      <c r="C26" s="265"/>
      <c r="D26" s="277"/>
      <c r="F26" s="354"/>
    </row>
    <row r="27" spans="1:6" ht="17.100000000000001" customHeight="1" x14ac:dyDescent="0.4">
      <c r="A27" s="263" t="s">
        <v>131</v>
      </c>
      <c r="B27" s="266">
        <v>1233439754</v>
      </c>
      <c r="C27" s="265"/>
      <c r="D27" s="277"/>
      <c r="F27" s="354"/>
    </row>
    <row r="28" spans="1:6" ht="17.100000000000001" customHeight="1" x14ac:dyDescent="0.4">
      <c r="A28" s="263" t="s">
        <v>133</v>
      </c>
      <c r="B28" s="266">
        <v>-608801813</v>
      </c>
      <c r="C28" s="265"/>
      <c r="D28" s="277"/>
      <c r="F28" s="354"/>
    </row>
    <row r="29" spans="1:6" ht="17.100000000000001" customHeight="1" x14ac:dyDescent="0.4">
      <c r="A29" s="263" t="s">
        <v>135</v>
      </c>
      <c r="B29" s="266">
        <v>18018117778</v>
      </c>
      <c r="C29" s="265"/>
      <c r="D29" s="277"/>
      <c r="F29" s="354"/>
    </row>
    <row r="30" spans="1:6" ht="17.100000000000001" customHeight="1" x14ac:dyDescent="0.4">
      <c r="A30" s="263" t="s">
        <v>137</v>
      </c>
      <c r="B30" s="266">
        <v>-13601545928</v>
      </c>
      <c r="C30" s="265"/>
      <c r="D30" s="277"/>
      <c r="F30" s="354"/>
    </row>
    <row r="31" spans="1:6" ht="17.100000000000001" customHeight="1" x14ac:dyDescent="0.4">
      <c r="A31" s="263" t="s">
        <v>150</v>
      </c>
      <c r="B31" s="266"/>
      <c r="C31" s="265"/>
      <c r="D31" s="277"/>
      <c r="F31" s="354"/>
    </row>
    <row r="32" spans="1:6" ht="17.100000000000001" customHeight="1" x14ac:dyDescent="0.4">
      <c r="A32" s="263" t="s">
        <v>152</v>
      </c>
      <c r="B32" s="266"/>
      <c r="C32" s="265"/>
      <c r="D32" s="277"/>
      <c r="F32" s="354"/>
    </row>
    <row r="33" spans="1:6" ht="17.100000000000001" customHeight="1" x14ac:dyDescent="0.4">
      <c r="A33" s="263" t="s">
        <v>154</v>
      </c>
      <c r="B33" s="266">
        <v>22162000</v>
      </c>
      <c r="C33" s="265"/>
      <c r="D33" s="277"/>
      <c r="F33" s="354"/>
    </row>
    <row r="34" spans="1:6" ht="17.100000000000001" customHeight="1" x14ac:dyDescent="0.4">
      <c r="A34" s="263" t="s">
        <v>158</v>
      </c>
      <c r="B34" s="266">
        <v>720754896</v>
      </c>
      <c r="C34" s="265"/>
      <c r="D34" s="277"/>
      <c r="F34" s="354"/>
    </row>
    <row r="35" spans="1:6" ht="17.100000000000001" customHeight="1" x14ac:dyDescent="0.4">
      <c r="A35" s="263" t="s">
        <v>159</v>
      </c>
      <c r="B35" s="266">
        <v>-632966605</v>
      </c>
      <c r="C35" s="265"/>
      <c r="D35" s="277"/>
      <c r="F35" s="354"/>
    </row>
    <row r="36" spans="1:6" ht="17.100000000000001" customHeight="1" x14ac:dyDescent="0.4">
      <c r="A36" s="263" t="s">
        <v>160</v>
      </c>
      <c r="B36" s="264">
        <f>SUM(B37:B38)</f>
        <v>36660776</v>
      </c>
      <c r="C36" s="265"/>
      <c r="D36" s="277"/>
      <c r="F36" s="354"/>
    </row>
    <row r="37" spans="1:6" ht="17.100000000000001" customHeight="1" x14ac:dyDescent="0.4">
      <c r="A37" s="263" t="s">
        <v>161</v>
      </c>
      <c r="B37" s="266">
        <v>36660776</v>
      </c>
      <c r="C37" s="265"/>
      <c r="D37" s="277"/>
      <c r="F37" s="354"/>
    </row>
    <row r="38" spans="1:6" ht="17.100000000000001" customHeight="1" x14ac:dyDescent="0.4">
      <c r="A38" s="263" t="s">
        <v>162</v>
      </c>
      <c r="B38" s="266"/>
      <c r="C38" s="265"/>
      <c r="D38" s="277"/>
      <c r="F38" s="354"/>
    </row>
    <row r="39" spans="1:6" ht="17.100000000000001" customHeight="1" x14ac:dyDescent="0.4">
      <c r="A39" s="263" t="s">
        <v>163</v>
      </c>
      <c r="B39" s="264">
        <f>B40+SUM(B44:B47)+B50+B51</f>
        <v>1745229494</v>
      </c>
      <c r="C39" s="265"/>
      <c r="D39" s="277"/>
    </row>
    <row r="40" spans="1:6" ht="17.100000000000001" customHeight="1" x14ac:dyDescent="0.4">
      <c r="A40" s="263" t="s">
        <v>164</v>
      </c>
      <c r="B40" s="264">
        <f>SUM(B41:B43)</f>
        <v>648684000</v>
      </c>
      <c r="C40" s="265"/>
      <c r="D40" s="277"/>
    </row>
    <row r="41" spans="1:6" ht="17.100000000000001" customHeight="1" x14ac:dyDescent="0.4">
      <c r="A41" s="263" t="s">
        <v>165</v>
      </c>
      <c r="B41" s="266">
        <v>200000</v>
      </c>
      <c r="C41" s="265"/>
      <c r="D41" s="277"/>
    </row>
    <row r="42" spans="1:6" ht="17.100000000000001" customHeight="1" x14ac:dyDescent="0.4">
      <c r="A42" s="263" t="s">
        <v>166</v>
      </c>
      <c r="B42" s="266">
        <v>648484000</v>
      </c>
      <c r="C42" s="265"/>
      <c r="D42" s="277"/>
    </row>
    <row r="43" spans="1:6" ht="17.100000000000001" customHeight="1" x14ac:dyDescent="0.4">
      <c r="A43" s="263" t="s">
        <v>150</v>
      </c>
      <c r="B43" s="266"/>
      <c r="C43" s="265"/>
      <c r="D43" s="277"/>
    </row>
    <row r="44" spans="1:6" ht="17.100000000000001" customHeight="1" x14ac:dyDescent="0.4">
      <c r="A44" s="263" t="s">
        <v>167</v>
      </c>
      <c r="B44" s="266"/>
      <c r="C44" s="265"/>
      <c r="D44" s="277"/>
    </row>
    <row r="45" spans="1:6" ht="17.100000000000001" customHeight="1" x14ac:dyDescent="0.4">
      <c r="A45" s="263" t="s">
        <v>168</v>
      </c>
      <c r="B45" s="266">
        <v>60772982</v>
      </c>
      <c r="C45" s="265"/>
      <c r="D45" s="277"/>
    </row>
    <row r="46" spans="1:6" ht="17.100000000000001" customHeight="1" x14ac:dyDescent="0.4">
      <c r="A46" s="263" t="s">
        <v>169</v>
      </c>
      <c r="B46" s="266"/>
      <c r="C46" s="265"/>
      <c r="D46" s="277"/>
    </row>
    <row r="47" spans="1:6" ht="17.100000000000001" customHeight="1" x14ac:dyDescent="0.4">
      <c r="A47" s="263" t="s">
        <v>170</v>
      </c>
      <c r="B47" s="264">
        <f>SUM(B48:B49)</f>
        <v>1040553252</v>
      </c>
      <c r="C47" s="265"/>
      <c r="D47" s="277"/>
    </row>
    <row r="48" spans="1:6" ht="17.100000000000001" customHeight="1" x14ac:dyDescent="0.4">
      <c r="A48" s="263" t="s">
        <v>171</v>
      </c>
      <c r="B48" s="266"/>
      <c r="C48" s="265"/>
      <c r="D48" s="277"/>
    </row>
    <row r="49" spans="1:4" ht="17.100000000000001" customHeight="1" x14ac:dyDescent="0.4">
      <c r="A49" s="263" t="s">
        <v>150</v>
      </c>
      <c r="B49" s="266">
        <v>1040553252</v>
      </c>
      <c r="C49" s="265"/>
      <c r="D49" s="279"/>
    </row>
    <row r="50" spans="1:4" ht="17.100000000000001" customHeight="1" x14ac:dyDescent="0.4">
      <c r="A50" s="263" t="s">
        <v>162</v>
      </c>
      <c r="B50" s="266"/>
      <c r="C50" s="265"/>
      <c r="D50" s="277"/>
    </row>
    <row r="51" spans="1:4" ht="17.100000000000001" customHeight="1" x14ac:dyDescent="0.4">
      <c r="A51" s="263" t="s">
        <v>172</v>
      </c>
      <c r="B51" s="266">
        <v>-4780740</v>
      </c>
      <c r="C51" s="265"/>
      <c r="D51" s="277"/>
    </row>
    <row r="52" spans="1:4" ht="17.100000000000001" customHeight="1" x14ac:dyDescent="0.4">
      <c r="A52" s="263" t="s">
        <v>173</v>
      </c>
      <c r="B52" s="264">
        <f>SUM(B53:B56)+SUM(B59:B61)</f>
        <v>1794380602</v>
      </c>
      <c r="C52" s="265"/>
      <c r="D52" s="277"/>
    </row>
    <row r="53" spans="1:4" ht="17.100000000000001" customHeight="1" x14ac:dyDescent="0.4">
      <c r="A53" s="263" t="s">
        <v>174</v>
      </c>
      <c r="B53" s="266">
        <v>331505838</v>
      </c>
      <c r="C53" s="265"/>
      <c r="D53" s="277"/>
    </row>
    <row r="54" spans="1:4" ht="17.100000000000001" customHeight="1" x14ac:dyDescent="0.4">
      <c r="A54" s="263" t="s">
        <v>175</v>
      </c>
      <c r="B54" s="266">
        <v>27548914</v>
      </c>
      <c r="C54" s="265"/>
      <c r="D54" s="277"/>
    </row>
    <row r="55" spans="1:4" ht="17.100000000000001" customHeight="1" x14ac:dyDescent="0.4">
      <c r="A55" s="263" t="s">
        <v>176</v>
      </c>
      <c r="B55" s="266"/>
      <c r="C55" s="265"/>
      <c r="D55" s="277"/>
    </row>
    <row r="56" spans="1:4" ht="17.100000000000001" customHeight="1" x14ac:dyDescent="0.4">
      <c r="A56" s="263" t="s">
        <v>177</v>
      </c>
      <c r="B56" s="264">
        <f>SUM(B57:B58)</f>
        <v>1437493000</v>
      </c>
      <c r="C56" s="265"/>
      <c r="D56" s="277"/>
    </row>
    <row r="57" spans="1:4" ht="17.100000000000001" customHeight="1" x14ac:dyDescent="0.4">
      <c r="A57" s="263" t="s">
        <v>178</v>
      </c>
      <c r="B57" s="266">
        <v>1341737000</v>
      </c>
      <c r="C57" s="265"/>
      <c r="D57" s="277"/>
    </row>
    <row r="58" spans="1:4" ht="17.100000000000001" customHeight="1" x14ac:dyDescent="0.4">
      <c r="A58" s="263" t="s">
        <v>179</v>
      </c>
      <c r="B58" s="266">
        <v>95756000</v>
      </c>
      <c r="C58" s="265"/>
      <c r="D58" s="277"/>
    </row>
    <row r="59" spans="1:4" ht="17.100000000000001" customHeight="1" x14ac:dyDescent="0.4">
      <c r="A59" s="263" t="s">
        <v>180</v>
      </c>
      <c r="B59" s="266"/>
      <c r="C59" s="265"/>
      <c r="D59" s="277"/>
    </row>
    <row r="60" spans="1:4" ht="17.100000000000001" customHeight="1" x14ac:dyDescent="0.4">
      <c r="A60" s="263" t="s">
        <v>132</v>
      </c>
      <c r="B60" s="266"/>
      <c r="C60" s="269"/>
      <c r="D60" s="280"/>
    </row>
    <row r="61" spans="1:4" ht="17.100000000000001" customHeight="1" x14ac:dyDescent="0.4">
      <c r="A61" s="270" t="s">
        <v>181</v>
      </c>
      <c r="B61" s="271">
        <v>-2167150</v>
      </c>
      <c r="C61" s="267" t="s">
        <v>182</v>
      </c>
      <c r="D61" s="278">
        <f>SUM(D24:D60)</f>
        <v>8968329379</v>
      </c>
    </row>
    <row r="62" spans="1:4" ht="17.100000000000001" customHeight="1" x14ac:dyDescent="0.4">
      <c r="A62" s="272" t="s">
        <v>183</v>
      </c>
      <c r="B62" s="268">
        <f>B7+B52</f>
        <v>14532718748</v>
      </c>
      <c r="C62" s="267" t="s">
        <v>184</v>
      </c>
      <c r="D62" s="278">
        <f>D22+D61</f>
        <v>14532718748</v>
      </c>
    </row>
    <row r="63" spans="1:4" ht="17.100000000000001" customHeight="1" x14ac:dyDescent="0.4">
      <c r="A63" s="273"/>
      <c r="B63" s="273"/>
      <c r="C63" s="274"/>
      <c r="D63" s="274"/>
    </row>
    <row r="64" spans="1:4" ht="17.100000000000001" customHeight="1" x14ac:dyDescent="0.4">
      <c r="A64" s="273"/>
      <c r="B64" s="273"/>
      <c r="C64" s="274"/>
      <c r="D64" s="274"/>
    </row>
    <row r="65" spans="1:4" ht="17.100000000000001" customHeight="1" x14ac:dyDescent="0.4">
      <c r="A65" s="273"/>
      <c r="B65" s="273"/>
      <c r="C65" s="274"/>
      <c r="D65" s="274"/>
    </row>
    <row r="66" spans="1:4" ht="17.100000000000001" customHeight="1" x14ac:dyDescent="0.4">
      <c r="A66" s="273"/>
      <c r="B66" s="273"/>
      <c r="C66" s="274"/>
      <c r="D66" s="274"/>
    </row>
    <row r="67" spans="1:4" ht="17.100000000000001" customHeight="1" x14ac:dyDescent="0.4">
      <c r="A67" s="273"/>
      <c r="B67" s="273"/>
      <c r="C67" s="274"/>
      <c r="D67" s="274"/>
    </row>
    <row r="68" spans="1:4" ht="17.100000000000001" customHeight="1" x14ac:dyDescent="0.4">
      <c r="A68" s="273"/>
      <c r="B68" s="273"/>
      <c r="C68" s="274"/>
      <c r="D68" s="274"/>
    </row>
    <row r="69" spans="1:4" ht="17.100000000000001" customHeight="1" x14ac:dyDescent="0.4">
      <c r="A69" s="273"/>
      <c r="B69" s="273"/>
      <c r="C69" s="274"/>
      <c r="D69" s="274"/>
    </row>
    <row r="70" spans="1:4" ht="17.100000000000001" customHeight="1" x14ac:dyDescent="0.4">
      <c r="A70" s="273"/>
      <c r="B70" s="273"/>
      <c r="C70" s="274"/>
      <c r="D70" s="274"/>
    </row>
    <row r="71" spans="1:4" ht="17.100000000000001" customHeight="1" x14ac:dyDescent="0.4">
      <c r="A71" s="273"/>
      <c r="B71" s="273"/>
      <c r="C71" s="274"/>
      <c r="D71" s="274"/>
    </row>
    <row r="72" spans="1:4" ht="17.100000000000001" customHeight="1" x14ac:dyDescent="0.4">
      <c r="A72" s="273"/>
      <c r="B72" s="273"/>
      <c r="C72" s="274"/>
      <c r="D72" s="274"/>
    </row>
    <row r="73" spans="1:4" ht="17.100000000000001" customHeight="1" x14ac:dyDescent="0.4">
      <c r="A73" s="273"/>
      <c r="B73" s="273"/>
      <c r="C73" s="274"/>
      <c r="D73" s="274"/>
    </row>
    <row r="74" spans="1:4" ht="17.100000000000001" customHeight="1" x14ac:dyDescent="0.4">
      <c r="A74" s="273"/>
      <c r="B74" s="273"/>
      <c r="C74" s="274"/>
      <c r="D74" s="274"/>
    </row>
    <row r="75" spans="1:4" ht="17.100000000000001" customHeight="1" x14ac:dyDescent="0.4">
      <c r="A75" s="273"/>
      <c r="B75" s="273"/>
      <c r="C75" s="274"/>
      <c r="D75" s="274"/>
    </row>
    <row r="76" spans="1:4" ht="17.100000000000001" customHeight="1" x14ac:dyDescent="0.4">
      <c r="A76" s="273"/>
      <c r="B76" s="273"/>
      <c r="C76" s="274"/>
      <c r="D76" s="274"/>
    </row>
    <row r="77" spans="1:4" ht="17.100000000000001" customHeight="1" x14ac:dyDescent="0.4">
      <c r="A77" s="273"/>
      <c r="B77" s="273"/>
      <c r="C77" s="274"/>
      <c r="D77" s="274"/>
    </row>
    <row r="78" spans="1:4" ht="17.100000000000001" customHeight="1" x14ac:dyDescent="0.4">
      <c r="A78" s="273"/>
      <c r="B78" s="273"/>
      <c r="C78" s="274"/>
      <c r="D78" s="274"/>
    </row>
    <row r="79" spans="1:4" ht="17.100000000000001" customHeight="1" x14ac:dyDescent="0.4">
      <c r="A79" s="273"/>
      <c r="B79" s="273"/>
      <c r="C79" s="274"/>
      <c r="D79" s="274"/>
    </row>
    <row r="80" spans="1:4" ht="17.100000000000001" customHeight="1" x14ac:dyDescent="0.4">
      <c r="A80" s="273"/>
      <c r="B80" s="273"/>
      <c r="C80" s="274"/>
      <c r="D80" s="274"/>
    </row>
    <row r="81" spans="1:3" ht="17.100000000000001" customHeight="1" x14ac:dyDescent="0.4">
      <c r="A81" s="273"/>
      <c r="B81" s="273"/>
      <c r="C81" s="274"/>
    </row>
  </sheetData>
  <mergeCells count="2">
    <mergeCell ref="A2:D2"/>
    <mergeCell ref="A3:D3"/>
  </mergeCells>
  <phoneticPr fontId="1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C140-017D-4111-970B-8A2C5D46918E}">
  <sheetPr>
    <tabColor rgb="FFFFFF00"/>
  </sheetPr>
  <dimension ref="B2:F31"/>
  <sheetViews>
    <sheetView workbookViewId="0">
      <selection activeCell="J31" sqref="J31"/>
    </sheetView>
  </sheetViews>
  <sheetFormatPr defaultColWidth="8.625" defaultRowHeight="17.100000000000001" customHeight="1" x14ac:dyDescent="0.4"/>
  <cols>
    <col min="1" max="1" width="2.125" style="21" customWidth="1"/>
    <col min="2" max="2" width="25.625" style="21" customWidth="1"/>
    <col min="3" max="4" width="15.625" style="21" customWidth="1"/>
    <col min="5" max="5" width="13.75" style="21" bestFit="1" customWidth="1"/>
    <col min="6" max="6" width="5.625" style="21" customWidth="1"/>
    <col min="7" max="16384" width="8.625" style="21"/>
  </cols>
  <sheetData>
    <row r="2" spans="2:6" ht="17.100000000000001" customHeight="1" x14ac:dyDescent="0.4">
      <c r="B2" s="25" t="s">
        <v>602</v>
      </c>
      <c r="C2" s="314" t="s">
        <v>670</v>
      </c>
    </row>
    <row r="3" spans="2:6" ht="17.100000000000001" customHeight="1" x14ac:dyDescent="0.4">
      <c r="B3" s="25" t="s">
        <v>600</v>
      </c>
      <c r="C3" s="233">
        <v>5</v>
      </c>
      <c r="D3" s="21" t="s">
        <v>600</v>
      </c>
    </row>
    <row r="4" spans="2:6" ht="17.100000000000001" customHeight="1" x14ac:dyDescent="0.4">
      <c r="B4" s="25" t="s">
        <v>601</v>
      </c>
      <c r="C4" s="234">
        <f>C3-1</f>
        <v>4</v>
      </c>
      <c r="D4" s="21" t="s">
        <v>600</v>
      </c>
    </row>
    <row r="5" spans="2:6" ht="17.100000000000001" customHeight="1" x14ac:dyDescent="0.4">
      <c r="B5" s="251" t="s">
        <v>525</v>
      </c>
      <c r="C5" s="252">
        <v>0</v>
      </c>
    </row>
    <row r="6" spans="2:6" ht="17.100000000000001" customHeight="1" x14ac:dyDescent="0.4">
      <c r="C6" s="235"/>
    </row>
    <row r="7" spans="2:6" ht="17.100000000000001" customHeight="1" x14ac:dyDescent="0.4">
      <c r="B7" s="236" t="s">
        <v>599</v>
      </c>
      <c r="C7" s="237"/>
      <c r="D7" s="237"/>
      <c r="E7" s="237"/>
      <c r="F7" s="238"/>
    </row>
    <row r="8" spans="2:6" ht="17.100000000000001" customHeight="1" x14ac:dyDescent="0.4">
      <c r="B8" s="239" t="s">
        <v>598</v>
      </c>
      <c r="C8" s="240" t="s">
        <v>597</v>
      </c>
      <c r="D8" s="241">
        <f>開始BS!$B$62</f>
        <v>14532718748</v>
      </c>
      <c r="E8" s="240"/>
      <c r="F8" s="242"/>
    </row>
    <row r="9" spans="2:6" ht="17.100000000000001" customHeight="1" x14ac:dyDescent="0.4">
      <c r="B9" s="239"/>
      <c r="C9" s="240" t="s">
        <v>596</v>
      </c>
      <c r="D9" s="243">
        <f>開始BS!$D$62</f>
        <v>14532718748</v>
      </c>
      <c r="E9" s="244">
        <f>+D8-D9</f>
        <v>0</v>
      </c>
      <c r="F9" s="242"/>
    </row>
    <row r="10" spans="2:6" ht="17.100000000000001" customHeight="1" x14ac:dyDescent="0.4">
      <c r="B10" s="239"/>
      <c r="C10" s="240"/>
      <c r="D10" s="241"/>
      <c r="E10" s="240"/>
      <c r="F10" s="242"/>
    </row>
    <row r="11" spans="2:6" ht="17.100000000000001" customHeight="1" x14ac:dyDescent="0.4">
      <c r="B11" s="239" t="s">
        <v>595</v>
      </c>
      <c r="C11" s="240" t="s">
        <v>593</v>
      </c>
      <c r="D11" s="245">
        <v>5462308087</v>
      </c>
      <c r="E11" s="240"/>
      <c r="F11" s="242"/>
    </row>
    <row r="12" spans="2:6" ht="17.100000000000001" customHeight="1" x14ac:dyDescent="0.4">
      <c r="B12" s="239"/>
      <c r="C12" s="240" t="s">
        <v>592</v>
      </c>
      <c r="D12" s="243">
        <f>歳入!K45+歳入!K46</f>
        <v>5462308087</v>
      </c>
      <c r="E12" s="244">
        <f>+D11-D12</f>
        <v>0</v>
      </c>
      <c r="F12" s="242"/>
    </row>
    <row r="13" spans="2:6" ht="17.100000000000001" customHeight="1" x14ac:dyDescent="0.4">
      <c r="B13" s="239"/>
      <c r="C13" s="240"/>
      <c r="D13" s="241"/>
      <c r="E13" s="240"/>
      <c r="F13" s="242"/>
    </row>
    <row r="14" spans="2:6" ht="17.100000000000001" customHeight="1" x14ac:dyDescent="0.4">
      <c r="B14" s="239" t="s">
        <v>594</v>
      </c>
      <c r="C14" s="240" t="s">
        <v>593</v>
      </c>
      <c r="D14" s="245">
        <v>5197729424</v>
      </c>
      <c r="E14" s="240"/>
      <c r="F14" s="242"/>
    </row>
    <row r="15" spans="2:6" ht="17.100000000000001" customHeight="1" x14ac:dyDescent="0.4">
      <c r="B15" s="239"/>
      <c r="C15" s="240" t="s">
        <v>592</v>
      </c>
      <c r="D15" s="243">
        <f>歳出!J53</f>
        <v>5197729424</v>
      </c>
      <c r="E15" s="244">
        <f>+D14-D15</f>
        <v>0</v>
      </c>
      <c r="F15" s="242"/>
    </row>
    <row r="16" spans="2:6" ht="17.100000000000001" customHeight="1" x14ac:dyDescent="0.4">
      <c r="B16" s="239"/>
      <c r="C16" s="240"/>
      <c r="D16" s="241"/>
      <c r="E16" s="240"/>
      <c r="F16" s="242"/>
    </row>
    <row r="17" spans="2:6" ht="17.100000000000001" customHeight="1" x14ac:dyDescent="0.4">
      <c r="B17" s="239" t="s">
        <v>591</v>
      </c>
      <c r="C17" s="240" t="s">
        <v>607</v>
      </c>
      <c r="D17" s="241" cm="1">
        <f t="array" ref="D17">'資金収支計算書(CF)'!E58:E58</f>
        <v>316637477</v>
      </c>
      <c r="E17" s="240"/>
      <c r="F17" s="242"/>
    </row>
    <row r="18" spans="2:6" ht="17.100000000000001" customHeight="1" x14ac:dyDescent="0.4">
      <c r="B18" s="239"/>
      <c r="C18" s="240" t="s">
        <v>608</v>
      </c>
      <c r="D18" s="243">
        <f>'貸借対照表(BS)'!C53</f>
        <v>316637477</v>
      </c>
      <c r="E18" s="244">
        <f>+D17-D18</f>
        <v>0</v>
      </c>
      <c r="F18" s="242"/>
    </row>
    <row r="19" spans="2:6" ht="17.100000000000001" customHeight="1" x14ac:dyDescent="0.4">
      <c r="B19" s="239"/>
      <c r="C19" s="240"/>
      <c r="D19" s="241"/>
      <c r="E19" s="240"/>
      <c r="F19" s="242"/>
    </row>
    <row r="20" spans="2:6" ht="17.100000000000001" customHeight="1" x14ac:dyDescent="0.4">
      <c r="B20" s="239" t="s">
        <v>590</v>
      </c>
      <c r="C20" s="240" t="s">
        <v>610</v>
      </c>
      <c r="D20" s="241">
        <f>'純資産変動計算書(NW)'!C22</f>
        <v>9263455115</v>
      </c>
      <c r="E20" s="240"/>
      <c r="F20" s="242"/>
    </row>
    <row r="21" spans="2:6" ht="17.100000000000001" customHeight="1" x14ac:dyDescent="0.4">
      <c r="B21" s="239"/>
      <c r="C21" s="240" t="s">
        <v>609</v>
      </c>
      <c r="D21" s="243">
        <f>'貸借対照表(BS)'!E61</f>
        <v>9263455115</v>
      </c>
      <c r="E21" s="244">
        <f>+D20-D21</f>
        <v>0</v>
      </c>
      <c r="F21" s="242"/>
    </row>
    <row r="22" spans="2:6" ht="17.100000000000001" customHeight="1" x14ac:dyDescent="0.4">
      <c r="B22" s="239"/>
      <c r="C22" s="240"/>
      <c r="D22" s="241"/>
      <c r="E22" s="240"/>
      <c r="F22" s="242"/>
    </row>
    <row r="23" spans="2:6" ht="17.100000000000001" customHeight="1" x14ac:dyDescent="0.4">
      <c r="B23" s="239" t="s">
        <v>589</v>
      </c>
      <c r="C23" s="246" t="s">
        <v>588</v>
      </c>
      <c r="D23" s="241">
        <f>'貸借対照表(BS)'!$C$7+SUM('貸借対照表(BS)'!$C$55:$C$56)-'貸借対照表(BS)'!$E$24</f>
        <v>0</v>
      </c>
      <c r="E23" s="240"/>
      <c r="F23" s="242"/>
    </row>
    <row r="24" spans="2:6" ht="17.100000000000001" customHeight="1" x14ac:dyDescent="0.4">
      <c r="B24" s="239"/>
      <c r="C24" s="246" t="s">
        <v>605</v>
      </c>
      <c r="D24" s="243">
        <f>SUM('貸借対照表(BS)'!$C$53:$C$54)+SUM('貸借対照表(BS)'!$C$59:$C$61)-'貸借対照表(BS)'!$E$22-'貸借対照表(BS)'!$E$25</f>
        <v>0</v>
      </c>
      <c r="E24" s="244">
        <f>+D23-D24</f>
        <v>0</v>
      </c>
      <c r="F24" s="242"/>
    </row>
    <row r="25" spans="2:6" ht="17.100000000000001" customHeight="1" x14ac:dyDescent="0.4">
      <c r="B25" s="239"/>
      <c r="C25" s="240"/>
      <c r="D25" s="241"/>
      <c r="E25" s="240"/>
      <c r="F25" s="242"/>
    </row>
    <row r="26" spans="2:6" ht="17.100000000000001" customHeight="1" x14ac:dyDescent="0.4">
      <c r="B26" s="239"/>
      <c r="C26" s="240"/>
      <c r="D26" s="241"/>
      <c r="E26" s="240"/>
      <c r="F26" s="242"/>
    </row>
    <row r="27" spans="2:6" ht="17.100000000000001" customHeight="1" x14ac:dyDescent="0.4">
      <c r="B27" s="239" t="s">
        <v>611</v>
      </c>
      <c r="C27" s="240" t="s">
        <v>587</v>
      </c>
      <c r="D27" s="243">
        <f>'貸借対照表(BS)'!$C$62-'貸借対照表(BS)'!$E$62</f>
        <v>0</v>
      </c>
      <c r="E27" s="310" t="str">
        <f>IF(D27=0,"OK","NG")</f>
        <v>OK</v>
      </c>
      <c r="F27" s="242"/>
    </row>
    <row r="28" spans="2:6" ht="17.100000000000001" customHeight="1" x14ac:dyDescent="0.4">
      <c r="B28" s="239"/>
      <c r="C28" s="240" t="s">
        <v>586</v>
      </c>
      <c r="D28" s="311">
        <f>'行政コスト計算書(PL)'!$E$41+'純資産変動計算書(NW)'!$C$8</f>
        <v>0</v>
      </c>
      <c r="E28" s="310" t="str">
        <f t="shared" ref="E28:E30" si="0">IF(D28=0,"OK","NG")</f>
        <v>OK</v>
      </c>
      <c r="F28" s="242"/>
    </row>
    <row r="29" spans="2:6" ht="17.100000000000001" customHeight="1" x14ac:dyDescent="0.4">
      <c r="B29" s="239"/>
      <c r="C29" s="240" t="s">
        <v>585</v>
      </c>
      <c r="D29" s="311">
        <f>'純資産変動計算書(NW)'!$C$22-'貸借対照表(BS)'!$E$61</f>
        <v>0</v>
      </c>
      <c r="E29" s="310" t="str">
        <f t="shared" si="0"/>
        <v>OK</v>
      </c>
      <c r="F29" s="242"/>
    </row>
    <row r="30" spans="2:6" ht="17.100000000000001" customHeight="1" x14ac:dyDescent="0.4">
      <c r="B30" s="239"/>
      <c r="C30" s="240" t="s">
        <v>584</v>
      </c>
      <c r="D30" s="243">
        <f>'資金収支計算書(CF)'!$E$58-'貸借対照表(BS)'!C53</f>
        <v>0</v>
      </c>
      <c r="E30" s="310" t="str">
        <f t="shared" si="0"/>
        <v>OK</v>
      </c>
      <c r="F30" s="242"/>
    </row>
    <row r="31" spans="2:6" ht="17.100000000000001" customHeight="1" x14ac:dyDescent="0.4">
      <c r="B31" s="247"/>
      <c r="C31" s="248"/>
      <c r="D31" s="249"/>
      <c r="E31" s="248"/>
      <c r="F31" s="25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524C-BFE0-4C6C-9E32-DD84FD2DCF83}">
  <sheetPr>
    <tabColor rgb="FF66CCFF"/>
    <pageSetUpPr fitToPage="1"/>
  </sheetPr>
  <dimension ref="A1:K47"/>
  <sheetViews>
    <sheetView workbookViewId="0">
      <selection activeCell="J31" sqref="J31"/>
    </sheetView>
  </sheetViews>
  <sheetFormatPr defaultRowHeight="17.100000000000001" customHeight="1" x14ac:dyDescent="0.4"/>
  <cols>
    <col min="1" max="1" width="2.125" style="21" customWidth="1"/>
    <col min="2" max="4" width="3.625" style="21" customWidth="1"/>
    <col min="5" max="5" width="44.375" style="21" customWidth="1"/>
    <col min="6" max="6" width="33.875" style="21" bestFit="1" customWidth="1"/>
    <col min="7" max="7" width="15.625" style="21" customWidth="1"/>
    <col min="8" max="8" width="2.125" style="21" customWidth="1"/>
    <col min="9" max="9" width="30.75" style="21" customWidth="1"/>
    <col min="10" max="10" width="25.625" style="21" customWidth="1"/>
    <col min="11" max="11" width="15.625" style="21" customWidth="1"/>
    <col min="12" max="259" width="8.625" style="21"/>
    <col min="260" max="261" width="3.375" style="21" customWidth="1"/>
    <col min="262" max="262" width="37.25" style="21" customWidth="1"/>
    <col min="263" max="263" width="13.125" style="21" bestFit="1" customWidth="1"/>
    <col min="264" max="264" width="2.375" style="21" customWidth="1"/>
    <col min="265" max="266" width="30.875" style="21" customWidth="1"/>
    <col min="267" max="267" width="13.375" style="21" customWidth="1"/>
    <col min="268" max="515" width="8.625" style="21"/>
    <col min="516" max="517" width="3.375" style="21" customWidth="1"/>
    <col min="518" max="518" width="37.25" style="21" customWidth="1"/>
    <col min="519" max="519" width="13.125" style="21" bestFit="1" customWidth="1"/>
    <col min="520" max="520" width="2.375" style="21" customWidth="1"/>
    <col min="521" max="522" width="30.875" style="21" customWidth="1"/>
    <col min="523" max="523" width="13.375" style="21" customWidth="1"/>
    <col min="524" max="771" width="8.625" style="21"/>
    <col min="772" max="773" width="3.375" style="21" customWidth="1"/>
    <col min="774" max="774" width="37.25" style="21" customWidth="1"/>
    <col min="775" max="775" width="13.125" style="21" bestFit="1" customWidth="1"/>
    <col min="776" max="776" width="2.375" style="21" customWidth="1"/>
    <col min="777" max="778" width="30.875" style="21" customWidth="1"/>
    <col min="779" max="779" width="13.375" style="21" customWidth="1"/>
    <col min="780" max="1027" width="8.625" style="21"/>
    <col min="1028" max="1029" width="3.375" style="21" customWidth="1"/>
    <col min="1030" max="1030" width="37.25" style="21" customWidth="1"/>
    <col min="1031" max="1031" width="13.125" style="21" bestFit="1" customWidth="1"/>
    <col min="1032" max="1032" width="2.375" style="21" customWidth="1"/>
    <col min="1033" max="1034" width="30.875" style="21" customWidth="1"/>
    <col min="1035" max="1035" width="13.375" style="21" customWidth="1"/>
    <col min="1036" max="1283" width="8.625" style="21"/>
    <col min="1284" max="1285" width="3.375" style="21" customWidth="1"/>
    <col min="1286" max="1286" width="37.25" style="21" customWidth="1"/>
    <col min="1287" max="1287" width="13.125" style="21" bestFit="1" customWidth="1"/>
    <col min="1288" max="1288" width="2.375" style="21" customWidth="1"/>
    <col min="1289" max="1290" width="30.875" style="21" customWidth="1"/>
    <col min="1291" max="1291" width="13.375" style="21" customWidth="1"/>
    <col min="1292" max="1539" width="8.625" style="21"/>
    <col min="1540" max="1541" width="3.375" style="21" customWidth="1"/>
    <col min="1542" max="1542" width="37.25" style="21" customWidth="1"/>
    <col min="1543" max="1543" width="13.125" style="21" bestFit="1" customWidth="1"/>
    <col min="1544" max="1544" width="2.375" style="21" customWidth="1"/>
    <col min="1545" max="1546" width="30.875" style="21" customWidth="1"/>
    <col min="1547" max="1547" width="13.375" style="21" customWidth="1"/>
    <col min="1548" max="1795" width="8.625" style="21"/>
    <col min="1796" max="1797" width="3.375" style="21" customWidth="1"/>
    <col min="1798" max="1798" width="37.25" style="21" customWidth="1"/>
    <col min="1799" max="1799" width="13.125" style="21" bestFit="1" customWidth="1"/>
    <col min="1800" max="1800" width="2.375" style="21" customWidth="1"/>
    <col min="1801" max="1802" width="30.875" style="21" customWidth="1"/>
    <col min="1803" max="1803" width="13.375" style="21" customWidth="1"/>
    <col min="1804" max="2051" width="8.625" style="21"/>
    <col min="2052" max="2053" width="3.375" style="21" customWidth="1"/>
    <col min="2054" max="2054" width="37.25" style="21" customWidth="1"/>
    <col min="2055" max="2055" width="13.125" style="21" bestFit="1" customWidth="1"/>
    <col min="2056" max="2056" width="2.375" style="21" customWidth="1"/>
    <col min="2057" max="2058" width="30.875" style="21" customWidth="1"/>
    <col min="2059" max="2059" width="13.375" style="21" customWidth="1"/>
    <col min="2060" max="2307" width="8.625" style="21"/>
    <col min="2308" max="2309" width="3.375" style="21" customWidth="1"/>
    <col min="2310" max="2310" width="37.25" style="21" customWidth="1"/>
    <col min="2311" max="2311" width="13.125" style="21" bestFit="1" customWidth="1"/>
    <col min="2312" max="2312" width="2.375" style="21" customWidth="1"/>
    <col min="2313" max="2314" width="30.875" style="21" customWidth="1"/>
    <col min="2315" max="2315" width="13.375" style="21" customWidth="1"/>
    <col min="2316" max="2563" width="8.625" style="21"/>
    <col min="2564" max="2565" width="3.375" style="21" customWidth="1"/>
    <col min="2566" max="2566" width="37.25" style="21" customWidth="1"/>
    <col min="2567" max="2567" width="13.125" style="21" bestFit="1" customWidth="1"/>
    <col min="2568" max="2568" width="2.375" style="21" customWidth="1"/>
    <col min="2569" max="2570" width="30.875" style="21" customWidth="1"/>
    <col min="2571" max="2571" width="13.375" style="21" customWidth="1"/>
    <col min="2572" max="2819" width="8.625" style="21"/>
    <col min="2820" max="2821" width="3.375" style="21" customWidth="1"/>
    <col min="2822" max="2822" width="37.25" style="21" customWidth="1"/>
    <col min="2823" max="2823" width="13.125" style="21" bestFit="1" customWidth="1"/>
    <col min="2824" max="2824" width="2.375" style="21" customWidth="1"/>
    <col min="2825" max="2826" width="30.875" style="21" customWidth="1"/>
    <col min="2827" max="2827" width="13.375" style="21" customWidth="1"/>
    <col min="2828" max="3075" width="8.625" style="21"/>
    <col min="3076" max="3077" width="3.375" style="21" customWidth="1"/>
    <col min="3078" max="3078" width="37.25" style="21" customWidth="1"/>
    <col min="3079" max="3079" width="13.125" style="21" bestFit="1" customWidth="1"/>
    <col min="3080" max="3080" width="2.375" style="21" customWidth="1"/>
    <col min="3081" max="3082" width="30.875" style="21" customWidth="1"/>
    <col min="3083" max="3083" width="13.375" style="21" customWidth="1"/>
    <col min="3084" max="3331" width="8.625" style="21"/>
    <col min="3332" max="3333" width="3.375" style="21" customWidth="1"/>
    <col min="3334" max="3334" width="37.25" style="21" customWidth="1"/>
    <col min="3335" max="3335" width="13.125" style="21" bestFit="1" customWidth="1"/>
    <col min="3336" max="3336" width="2.375" style="21" customWidth="1"/>
    <col min="3337" max="3338" width="30.875" style="21" customWidth="1"/>
    <col min="3339" max="3339" width="13.375" style="21" customWidth="1"/>
    <col min="3340" max="3587" width="8.625" style="21"/>
    <col min="3588" max="3589" width="3.375" style="21" customWidth="1"/>
    <col min="3590" max="3590" width="37.25" style="21" customWidth="1"/>
    <col min="3591" max="3591" width="13.125" style="21" bestFit="1" customWidth="1"/>
    <col min="3592" max="3592" width="2.375" style="21" customWidth="1"/>
    <col min="3593" max="3594" width="30.875" style="21" customWidth="1"/>
    <col min="3595" max="3595" width="13.375" style="21" customWidth="1"/>
    <col min="3596" max="3843" width="8.625" style="21"/>
    <col min="3844" max="3845" width="3.375" style="21" customWidth="1"/>
    <col min="3846" max="3846" width="37.25" style="21" customWidth="1"/>
    <col min="3847" max="3847" width="13.125" style="21" bestFit="1" customWidth="1"/>
    <col min="3848" max="3848" width="2.375" style="21" customWidth="1"/>
    <col min="3849" max="3850" width="30.875" style="21" customWidth="1"/>
    <col min="3851" max="3851" width="13.375" style="21" customWidth="1"/>
    <col min="3852" max="4099" width="8.625" style="21"/>
    <col min="4100" max="4101" width="3.375" style="21" customWidth="1"/>
    <col min="4102" max="4102" width="37.25" style="21" customWidth="1"/>
    <col min="4103" max="4103" width="13.125" style="21" bestFit="1" customWidth="1"/>
    <col min="4104" max="4104" width="2.375" style="21" customWidth="1"/>
    <col min="4105" max="4106" width="30.875" style="21" customWidth="1"/>
    <col min="4107" max="4107" width="13.375" style="21" customWidth="1"/>
    <col min="4108" max="4355" width="8.625" style="21"/>
    <col min="4356" max="4357" width="3.375" style="21" customWidth="1"/>
    <col min="4358" max="4358" width="37.25" style="21" customWidth="1"/>
    <col min="4359" max="4359" width="13.125" style="21" bestFit="1" customWidth="1"/>
    <col min="4360" max="4360" width="2.375" style="21" customWidth="1"/>
    <col min="4361" max="4362" width="30.875" style="21" customWidth="1"/>
    <col min="4363" max="4363" width="13.375" style="21" customWidth="1"/>
    <col min="4364" max="4611" width="8.625" style="21"/>
    <col min="4612" max="4613" width="3.375" style="21" customWidth="1"/>
    <col min="4614" max="4614" width="37.25" style="21" customWidth="1"/>
    <col min="4615" max="4615" width="13.125" style="21" bestFit="1" customWidth="1"/>
    <col min="4616" max="4616" width="2.375" style="21" customWidth="1"/>
    <col min="4617" max="4618" width="30.875" style="21" customWidth="1"/>
    <col min="4619" max="4619" width="13.375" style="21" customWidth="1"/>
    <col min="4620" max="4867" width="8.625" style="21"/>
    <col min="4868" max="4869" width="3.375" style="21" customWidth="1"/>
    <col min="4870" max="4870" width="37.25" style="21" customWidth="1"/>
    <col min="4871" max="4871" width="13.125" style="21" bestFit="1" customWidth="1"/>
    <col min="4872" max="4872" width="2.375" style="21" customWidth="1"/>
    <col min="4873" max="4874" width="30.875" style="21" customWidth="1"/>
    <col min="4875" max="4875" width="13.375" style="21" customWidth="1"/>
    <col min="4876" max="5123" width="8.625" style="21"/>
    <col min="5124" max="5125" width="3.375" style="21" customWidth="1"/>
    <col min="5126" max="5126" width="37.25" style="21" customWidth="1"/>
    <col min="5127" max="5127" width="13.125" style="21" bestFit="1" customWidth="1"/>
    <col min="5128" max="5128" width="2.375" style="21" customWidth="1"/>
    <col min="5129" max="5130" width="30.875" style="21" customWidth="1"/>
    <col min="5131" max="5131" width="13.375" style="21" customWidth="1"/>
    <col min="5132" max="5379" width="8.625" style="21"/>
    <col min="5380" max="5381" width="3.375" style="21" customWidth="1"/>
    <col min="5382" max="5382" width="37.25" style="21" customWidth="1"/>
    <col min="5383" max="5383" width="13.125" style="21" bestFit="1" customWidth="1"/>
    <col min="5384" max="5384" width="2.375" style="21" customWidth="1"/>
    <col min="5385" max="5386" width="30.875" style="21" customWidth="1"/>
    <col min="5387" max="5387" width="13.375" style="21" customWidth="1"/>
    <col min="5388" max="5635" width="8.625" style="21"/>
    <col min="5636" max="5637" width="3.375" style="21" customWidth="1"/>
    <col min="5638" max="5638" width="37.25" style="21" customWidth="1"/>
    <col min="5639" max="5639" width="13.125" style="21" bestFit="1" customWidth="1"/>
    <col min="5640" max="5640" width="2.375" style="21" customWidth="1"/>
    <col min="5641" max="5642" width="30.875" style="21" customWidth="1"/>
    <col min="5643" max="5643" width="13.375" style="21" customWidth="1"/>
    <col min="5644" max="5891" width="8.625" style="21"/>
    <col min="5892" max="5893" width="3.375" style="21" customWidth="1"/>
    <col min="5894" max="5894" width="37.25" style="21" customWidth="1"/>
    <col min="5895" max="5895" width="13.125" style="21" bestFit="1" customWidth="1"/>
    <col min="5896" max="5896" width="2.375" style="21" customWidth="1"/>
    <col min="5897" max="5898" width="30.875" style="21" customWidth="1"/>
    <col min="5899" max="5899" width="13.375" style="21" customWidth="1"/>
    <col min="5900" max="6147" width="8.625" style="21"/>
    <col min="6148" max="6149" width="3.375" style="21" customWidth="1"/>
    <col min="6150" max="6150" width="37.25" style="21" customWidth="1"/>
    <col min="6151" max="6151" width="13.125" style="21" bestFit="1" customWidth="1"/>
    <col min="6152" max="6152" width="2.375" style="21" customWidth="1"/>
    <col min="6153" max="6154" width="30.875" style="21" customWidth="1"/>
    <col min="6155" max="6155" width="13.375" style="21" customWidth="1"/>
    <col min="6156" max="6403" width="8.625" style="21"/>
    <col min="6404" max="6405" width="3.375" style="21" customWidth="1"/>
    <col min="6406" max="6406" width="37.25" style="21" customWidth="1"/>
    <col min="6407" max="6407" width="13.125" style="21" bestFit="1" customWidth="1"/>
    <col min="6408" max="6408" width="2.375" style="21" customWidth="1"/>
    <col min="6409" max="6410" width="30.875" style="21" customWidth="1"/>
    <col min="6411" max="6411" width="13.375" style="21" customWidth="1"/>
    <col min="6412" max="6659" width="8.625" style="21"/>
    <col min="6660" max="6661" width="3.375" style="21" customWidth="1"/>
    <col min="6662" max="6662" width="37.25" style="21" customWidth="1"/>
    <col min="6663" max="6663" width="13.125" style="21" bestFit="1" customWidth="1"/>
    <col min="6664" max="6664" width="2.375" style="21" customWidth="1"/>
    <col min="6665" max="6666" width="30.875" style="21" customWidth="1"/>
    <col min="6667" max="6667" width="13.375" style="21" customWidth="1"/>
    <col min="6668" max="6915" width="8.625" style="21"/>
    <col min="6916" max="6917" width="3.375" style="21" customWidth="1"/>
    <col min="6918" max="6918" width="37.25" style="21" customWidth="1"/>
    <col min="6919" max="6919" width="13.125" style="21" bestFit="1" customWidth="1"/>
    <col min="6920" max="6920" width="2.375" style="21" customWidth="1"/>
    <col min="6921" max="6922" width="30.875" style="21" customWidth="1"/>
    <col min="6923" max="6923" width="13.375" style="21" customWidth="1"/>
    <col min="6924" max="7171" width="8.625" style="21"/>
    <col min="7172" max="7173" width="3.375" style="21" customWidth="1"/>
    <col min="7174" max="7174" width="37.25" style="21" customWidth="1"/>
    <col min="7175" max="7175" width="13.125" style="21" bestFit="1" customWidth="1"/>
    <col min="7176" max="7176" width="2.375" style="21" customWidth="1"/>
    <col min="7177" max="7178" width="30.875" style="21" customWidth="1"/>
    <col min="7179" max="7179" width="13.375" style="21" customWidth="1"/>
    <col min="7180" max="7427" width="8.625" style="21"/>
    <col min="7428" max="7429" width="3.375" style="21" customWidth="1"/>
    <col min="7430" max="7430" width="37.25" style="21" customWidth="1"/>
    <col min="7431" max="7431" width="13.125" style="21" bestFit="1" customWidth="1"/>
    <col min="7432" max="7432" width="2.375" style="21" customWidth="1"/>
    <col min="7433" max="7434" width="30.875" style="21" customWidth="1"/>
    <col min="7435" max="7435" width="13.375" style="21" customWidth="1"/>
    <col min="7436" max="7683" width="8.625" style="21"/>
    <col min="7684" max="7685" width="3.375" style="21" customWidth="1"/>
    <col min="7686" max="7686" width="37.25" style="21" customWidth="1"/>
    <col min="7687" max="7687" width="13.125" style="21" bestFit="1" customWidth="1"/>
    <col min="7688" max="7688" width="2.375" style="21" customWidth="1"/>
    <col min="7689" max="7690" width="30.875" style="21" customWidth="1"/>
    <col min="7691" max="7691" width="13.375" style="21" customWidth="1"/>
    <col min="7692" max="7939" width="8.625" style="21"/>
    <col min="7940" max="7941" width="3.375" style="21" customWidth="1"/>
    <col min="7942" max="7942" width="37.25" style="21" customWidth="1"/>
    <col min="7943" max="7943" width="13.125" style="21" bestFit="1" customWidth="1"/>
    <col min="7944" max="7944" width="2.375" style="21" customWidth="1"/>
    <col min="7945" max="7946" width="30.875" style="21" customWidth="1"/>
    <col min="7947" max="7947" width="13.375" style="21" customWidth="1"/>
    <col min="7948" max="8195" width="8.625" style="21"/>
    <col min="8196" max="8197" width="3.375" style="21" customWidth="1"/>
    <col min="8198" max="8198" width="37.25" style="21" customWidth="1"/>
    <col min="8199" max="8199" width="13.125" style="21" bestFit="1" customWidth="1"/>
    <col min="8200" max="8200" width="2.375" style="21" customWidth="1"/>
    <col min="8201" max="8202" width="30.875" style="21" customWidth="1"/>
    <col min="8203" max="8203" width="13.375" style="21" customWidth="1"/>
    <col min="8204" max="8451" width="8.625" style="21"/>
    <col min="8452" max="8453" width="3.375" style="21" customWidth="1"/>
    <col min="8454" max="8454" width="37.25" style="21" customWidth="1"/>
    <col min="8455" max="8455" width="13.125" style="21" bestFit="1" customWidth="1"/>
    <col min="8456" max="8456" width="2.375" style="21" customWidth="1"/>
    <col min="8457" max="8458" width="30.875" style="21" customWidth="1"/>
    <col min="8459" max="8459" width="13.375" style="21" customWidth="1"/>
    <col min="8460" max="8707" width="8.625" style="21"/>
    <col min="8708" max="8709" width="3.375" style="21" customWidth="1"/>
    <col min="8710" max="8710" width="37.25" style="21" customWidth="1"/>
    <col min="8711" max="8711" width="13.125" style="21" bestFit="1" customWidth="1"/>
    <col min="8712" max="8712" width="2.375" style="21" customWidth="1"/>
    <col min="8713" max="8714" width="30.875" style="21" customWidth="1"/>
    <col min="8715" max="8715" width="13.375" style="21" customWidth="1"/>
    <col min="8716" max="8963" width="8.625" style="21"/>
    <col min="8964" max="8965" width="3.375" style="21" customWidth="1"/>
    <col min="8966" max="8966" width="37.25" style="21" customWidth="1"/>
    <col min="8967" max="8967" width="13.125" style="21" bestFit="1" customWidth="1"/>
    <col min="8968" max="8968" width="2.375" style="21" customWidth="1"/>
    <col min="8969" max="8970" width="30.875" style="21" customWidth="1"/>
    <col min="8971" max="8971" width="13.375" style="21" customWidth="1"/>
    <col min="8972" max="9219" width="8.625" style="21"/>
    <col min="9220" max="9221" width="3.375" style="21" customWidth="1"/>
    <col min="9222" max="9222" width="37.25" style="21" customWidth="1"/>
    <col min="9223" max="9223" width="13.125" style="21" bestFit="1" customWidth="1"/>
    <col min="9224" max="9224" width="2.375" style="21" customWidth="1"/>
    <col min="9225" max="9226" width="30.875" style="21" customWidth="1"/>
    <col min="9227" max="9227" width="13.375" style="21" customWidth="1"/>
    <col min="9228" max="9475" width="8.625" style="21"/>
    <col min="9476" max="9477" width="3.375" style="21" customWidth="1"/>
    <col min="9478" max="9478" width="37.25" style="21" customWidth="1"/>
    <col min="9479" max="9479" width="13.125" style="21" bestFit="1" customWidth="1"/>
    <col min="9480" max="9480" width="2.375" style="21" customWidth="1"/>
    <col min="9481" max="9482" width="30.875" style="21" customWidth="1"/>
    <col min="9483" max="9483" width="13.375" style="21" customWidth="1"/>
    <col min="9484" max="9731" width="8.625" style="21"/>
    <col min="9732" max="9733" width="3.375" style="21" customWidth="1"/>
    <col min="9734" max="9734" width="37.25" style="21" customWidth="1"/>
    <col min="9735" max="9735" width="13.125" style="21" bestFit="1" customWidth="1"/>
    <col min="9736" max="9736" width="2.375" style="21" customWidth="1"/>
    <col min="9737" max="9738" width="30.875" style="21" customWidth="1"/>
    <col min="9739" max="9739" width="13.375" style="21" customWidth="1"/>
    <col min="9740" max="9987" width="8.625" style="21"/>
    <col min="9988" max="9989" width="3.375" style="21" customWidth="1"/>
    <col min="9990" max="9990" width="37.25" style="21" customWidth="1"/>
    <col min="9991" max="9991" width="13.125" style="21" bestFit="1" customWidth="1"/>
    <col min="9992" max="9992" width="2.375" style="21" customWidth="1"/>
    <col min="9993" max="9994" width="30.875" style="21" customWidth="1"/>
    <col min="9995" max="9995" width="13.375" style="21" customWidth="1"/>
    <col min="9996" max="10243" width="8.625" style="21"/>
    <col min="10244" max="10245" width="3.375" style="21" customWidth="1"/>
    <col min="10246" max="10246" width="37.25" style="21" customWidth="1"/>
    <col min="10247" max="10247" width="13.125" style="21" bestFit="1" customWidth="1"/>
    <col min="10248" max="10248" width="2.375" style="21" customWidth="1"/>
    <col min="10249" max="10250" width="30.875" style="21" customWidth="1"/>
    <col min="10251" max="10251" width="13.375" style="21" customWidth="1"/>
    <col min="10252" max="10499" width="8.625" style="21"/>
    <col min="10500" max="10501" width="3.375" style="21" customWidth="1"/>
    <col min="10502" max="10502" width="37.25" style="21" customWidth="1"/>
    <col min="10503" max="10503" width="13.125" style="21" bestFit="1" customWidth="1"/>
    <col min="10504" max="10504" width="2.375" style="21" customWidth="1"/>
    <col min="10505" max="10506" width="30.875" style="21" customWidth="1"/>
    <col min="10507" max="10507" width="13.375" style="21" customWidth="1"/>
    <col min="10508" max="10755" width="8.625" style="21"/>
    <col min="10756" max="10757" width="3.375" style="21" customWidth="1"/>
    <col min="10758" max="10758" width="37.25" style="21" customWidth="1"/>
    <col min="10759" max="10759" width="13.125" style="21" bestFit="1" customWidth="1"/>
    <col min="10760" max="10760" width="2.375" style="21" customWidth="1"/>
    <col min="10761" max="10762" width="30.875" style="21" customWidth="1"/>
    <col min="10763" max="10763" width="13.375" style="21" customWidth="1"/>
    <col min="10764" max="11011" width="8.625" style="21"/>
    <col min="11012" max="11013" width="3.375" style="21" customWidth="1"/>
    <col min="11014" max="11014" width="37.25" style="21" customWidth="1"/>
    <col min="11015" max="11015" width="13.125" style="21" bestFit="1" customWidth="1"/>
    <col min="11016" max="11016" width="2.375" style="21" customWidth="1"/>
    <col min="11017" max="11018" width="30.875" style="21" customWidth="1"/>
    <col min="11019" max="11019" width="13.375" style="21" customWidth="1"/>
    <col min="11020" max="11267" width="8.625" style="21"/>
    <col min="11268" max="11269" width="3.375" style="21" customWidth="1"/>
    <col min="11270" max="11270" width="37.25" style="21" customWidth="1"/>
    <col min="11271" max="11271" width="13.125" style="21" bestFit="1" customWidth="1"/>
    <col min="11272" max="11272" width="2.375" style="21" customWidth="1"/>
    <col min="11273" max="11274" width="30.875" style="21" customWidth="1"/>
    <col min="11275" max="11275" width="13.375" style="21" customWidth="1"/>
    <col min="11276" max="11523" width="8.625" style="21"/>
    <col min="11524" max="11525" width="3.375" style="21" customWidth="1"/>
    <col min="11526" max="11526" width="37.25" style="21" customWidth="1"/>
    <col min="11527" max="11527" width="13.125" style="21" bestFit="1" customWidth="1"/>
    <col min="11528" max="11528" width="2.375" style="21" customWidth="1"/>
    <col min="11529" max="11530" width="30.875" style="21" customWidth="1"/>
    <col min="11531" max="11531" width="13.375" style="21" customWidth="1"/>
    <col min="11532" max="11779" width="8.625" style="21"/>
    <col min="11780" max="11781" width="3.375" style="21" customWidth="1"/>
    <col min="11782" max="11782" width="37.25" style="21" customWidth="1"/>
    <col min="11783" max="11783" width="13.125" style="21" bestFit="1" customWidth="1"/>
    <col min="11784" max="11784" width="2.375" style="21" customWidth="1"/>
    <col min="11785" max="11786" width="30.875" style="21" customWidth="1"/>
    <col min="11787" max="11787" width="13.375" style="21" customWidth="1"/>
    <col min="11788" max="12035" width="8.625" style="21"/>
    <col min="12036" max="12037" width="3.375" style="21" customWidth="1"/>
    <col min="12038" max="12038" width="37.25" style="21" customWidth="1"/>
    <col min="12039" max="12039" width="13.125" style="21" bestFit="1" customWidth="1"/>
    <col min="12040" max="12040" width="2.375" style="21" customWidth="1"/>
    <col min="12041" max="12042" width="30.875" style="21" customWidth="1"/>
    <col min="12043" max="12043" width="13.375" style="21" customWidth="1"/>
    <col min="12044" max="12291" width="8.625" style="21"/>
    <col min="12292" max="12293" width="3.375" style="21" customWidth="1"/>
    <col min="12294" max="12294" width="37.25" style="21" customWidth="1"/>
    <col min="12295" max="12295" width="13.125" style="21" bestFit="1" customWidth="1"/>
    <col min="12296" max="12296" width="2.375" style="21" customWidth="1"/>
    <col min="12297" max="12298" width="30.875" style="21" customWidth="1"/>
    <col min="12299" max="12299" width="13.375" style="21" customWidth="1"/>
    <col min="12300" max="12547" width="8.625" style="21"/>
    <col min="12548" max="12549" width="3.375" style="21" customWidth="1"/>
    <col min="12550" max="12550" width="37.25" style="21" customWidth="1"/>
    <col min="12551" max="12551" width="13.125" style="21" bestFit="1" customWidth="1"/>
    <col min="12552" max="12552" width="2.375" style="21" customWidth="1"/>
    <col min="12553" max="12554" width="30.875" style="21" customWidth="1"/>
    <col min="12555" max="12555" width="13.375" style="21" customWidth="1"/>
    <col min="12556" max="12803" width="8.625" style="21"/>
    <col min="12804" max="12805" width="3.375" style="21" customWidth="1"/>
    <col min="12806" max="12806" width="37.25" style="21" customWidth="1"/>
    <col min="12807" max="12807" width="13.125" style="21" bestFit="1" customWidth="1"/>
    <col min="12808" max="12808" width="2.375" style="21" customWidth="1"/>
    <col min="12809" max="12810" width="30.875" style="21" customWidth="1"/>
    <col min="12811" max="12811" width="13.375" style="21" customWidth="1"/>
    <col min="12812" max="13059" width="8.625" style="21"/>
    <col min="13060" max="13061" width="3.375" style="21" customWidth="1"/>
    <col min="13062" max="13062" width="37.25" style="21" customWidth="1"/>
    <col min="13063" max="13063" width="13.125" style="21" bestFit="1" customWidth="1"/>
    <col min="13064" max="13064" width="2.375" style="21" customWidth="1"/>
    <col min="13065" max="13066" width="30.875" style="21" customWidth="1"/>
    <col min="13067" max="13067" width="13.375" style="21" customWidth="1"/>
    <col min="13068" max="13315" width="8.625" style="21"/>
    <col min="13316" max="13317" width="3.375" style="21" customWidth="1"/>
    <col min="13318" max="13318" width="37.25" style="21" customWidth="1"/>
    <col min="13319" max="13319" width="13.125" style="21" bestFit="1" customWidth="1"/>
    <col min="13320" max="13320" width="2.375" style="21" customWidth="1"/>
    <col min="13321" max="13322" width="30.875" style="21" customWidth="1"/>
    <col min="13323" max="13323" width="13.375" style="21" customWidth="1"/>
    <col min="13324" max="13571" width="8.625" style="21"/>
    <col min="13572" max="13573" width="3.375" style="21" customWidth="1"/>
    <col min="13574" max="13574" width="37.25" style="21" customWidth="1"/>
    <col min="13575" max="13575" width="13.125" style="21" bestFit="1" customWidth="1"/>
    <col min="13576" max="13576" width="2.375" style="21" customWidth="1"/>
    <col min="13577" max="13578" width="30.875" style="21" customWidth="1"/>
    <col min="13579" max="13579" width="13.375" style="21" customWidth="1"/>
    <col min="13580" max="13827" width="8.625" style="21"/>
    <col min="13828" max="13829" width="3.375" style="21" customWidth="1"/>
    <col min="13830" max="13830" width="37.25" style="21" customWidth="1"/>
    <col min="13831" max="13831" width="13.125" style="21" bestFit="1" customWidth="1"/>
    <col min="13832" max="13832" width="2.375" style="21" customWidth="1"/>
    <col min="13833" max="13834" width="30.875" style="21" customWidth="1"/>
    <col min="13835" max="13835" width="13.375" style="21" customWidth="1"/>
    <col min="13836" max="14083" width="8.625" style="21"/>
    <col min="14084" max="14085" width="3.375" style="21" customWidth="1"/>
    <col min="14086" max="14086" width="37.25" style="21" customWidth="1"/>
    <col min="14087" max="14087" width="13.125" style="21" bestFit="1" customWidth="1"/>
    <col min="14088" max="14088" width="2.375" style="21" customWidth="1"/>
    <col min="14089" max="14090" width="30.875" style="21" customWidth="1"/>
    <col min="14091" max="14091" width="13.375" style="21" customWidth="1"/>
    <col min="14092" max="14339" width="8.625" style="21"/>
    <col min="14340" max="14341" width="3.375" style="21" customWidth="1"/>
    <col min="14342" max="14342" width="37.25" style="21" customWidth="1"/>
    <col min="14343" max="14343" width="13.125" style="21" bestFit="1" customWidth="1"/>
    <col min="14344" max="14344" width="2.375" style="21" customWidth="1"/>
    <col min="14345" max="14346" width="30.875" style="21" customWidth="1"/>
    <col min="14347" max="14347" width="13.375" style="21" customWidth="1"/>
    <col min="14348" max="14595" width="8.625" style="21"/>
    <col min="14596" max="14597" width="3.375" style="21" customWidth="1"/>
    <col min="14598" max="14598" width="37.25" style="21" customWidth="1"/>
    <col min="14599" max="14599" width="13.125" style="21" bestFit="1" customWidth="1"/>
    <col min="14600" max="14600" width="2.375" style="21" customWidth="1"/>
    <col min="14601" max="14602" width="30.875" style="21" customWidth="1"/>
    <col min="14603" max="14603" width="13.375" style="21" customWidth="1"/>
    <col min="14604" max="14851" width="8.625" style="21"/>
    <col min="14852" max="14853" width="3.375" style="21" customWidth="1"/>
    <col min="14854" max="14854" width="37.25" style="21" customWidth="1"/>
    <col min="14855" max="14855" width="13.125" style="21" bestFit="1" customWidth="1"/>
    <col min="14856" max="14856" width="2.375" style="21" customWidth="1"/>
    <col min="14857" max="14858" width="30.875" style="21" customWidth="1"/>
    <col min="14859" max="14859" width="13.375" style="21" customWidth="1"/>
    <col min="14860" max="15107" width="8.625" style="21"/>
    <col min="15108" max="15109" width="3.375" style="21" customWidth="1"/>
    <col min="15110" max="15110" width="37.25" style="21" customWidth="1"/>
    <col min="15111" max="15111" width="13.125" style="21" bestFit="1" customWidth="1"/>
    <col min="15112" max="15112" width="2.375" style="21" customWidth="1"/>
    <col min="15113" max="15114" width="30.875" style="21" customWidth="1"/>
    <col min="15115" max="15115" width="13.375" style="21" customWidth="1"/>
    <col min="15116" max="15363" width="8.625" style="21"/>
    <col min="15364" max="15365" width="3.375" style="21" customWidth="1"/>
    <col min="15366" max="15366" width="37.25" style="21" customWidth="1"/>
    <col min="15367" max="15367" width="13.125" style="21" bestFit="1" customWidth="1"/>
    <col min="15368" max="15368" width="2.375" style="21" customWidth="1"/>
    <col min="15369" max="15370" width="30.875" style="21" customWidth="1"/>
    <col min="15371" max="15371" width="13.375" style="21" customWidth="1"/>
    <col min="15372" max="15619" width="8.625" style="21"/>
    <col min="15620" max="15621" width="3.375" style="21" customWidth="1"/>
    <col min="15622" max="15622" width="37.25" style="21" customWidth="1"/>
    <col min="15623" max="15623" width="13.125" style="21" bestFit="1" customWidth="1"/>
    <col min="15624" max="15624" width="2.375" style="21" customWidth="1"/>
    <col min="15625" max="15626" width="30.875" style="21" customWidth="1"/>
    <col min="15627" max="15627" width="13.375" style="21" customWidth="1"/>
    <col min="15628" max="15875" width="8.625" style="21"/>
    <col min="15876" max="15877" width="3.375" style="21" customWidth="1"/>
    <col min="15878" max="15878" width="37.25" style="21" customWidth="1"/>
    <col min="15879" max="15879" width="13.125" style="21" bestFit="1" customWidth="1"/>
    <col min="15880" max="15880" width="2.375" style="21" customWidth="1"/>
    <col min="15881" max="15882" width="30.875" style="21" customWidth="1"/>
    <col min="15883" max="15883" width="13.375" style="21" customWidth="1"/>
    <col min="15884" max="16131" width="8.625" style="21"/>
    <col min="16132" max="16133" width="3.375" style="21" customWidth="1"/>
    <col min="16134" max="16134" width="37.25" style="21" customWidth="1"/>
    <col min="16135" max="16135" width="13.125" style="21" bestFit="1" customWidth="1"/>
    <col min="16136" max="16136" width="2.375" style="21" customWidth="1"/>
    <col min="16137" max="16138" width="30.875" style="21" customWidth="1"/>
    <col min="16139" max="16139" width="13.375" style="21" customWidth="1"/>
    <col min="16140" max="16384" width="8.625" style="21"/>
  </cols>
  <sheetData>
    <row r="1" spans="1:11" ht="17.100000000000001" customHeight="1" x14ac:dyDescent="0.4">
      <c r="A1" s="21" t="str">
        <f>"令和"&amp;チェックシート!$C$3&amp;"年度"</f>
        <v>令和5年度</v>
      </c>
    </row>
    <row r="2" spans="1:11" ht="17.100000000000001" customHeight="1" x14ac:dyDescent="0.4">
      <c r="A2" s="281" t="str">
        <f>チェックシート!$C$2</f>
        <v>白子町</v>
      </c>
    </row>
    <row r="3" spans="1:11" ht="17.100000000000001" customHeight="1" x14ac:dyDescent="0.4">
      <c r="A3" s="22" t="s">
        <v>185</v>
      </c>
      <c r="F3" s="22"/>
      <c r="G3" s="205" t="s">
        <v>548</v>
      </c>
      <c r="I3" s="23" t="s">
        <v>186</v>
      </c>
    </row>
    <row r="4" spans="1:11" ht="17.100000000000001" customHeight="1" x14ac:dyDescent="0.4">
      <c r="B4" s="24" t="s">
        <v>230</v>
      </c>
      <c r="C4" s="24" t="s">
        <v>285</v>
      </c>
      <c r="D4" s="24" t="s">
        <v>286</v>
      </c>
      <c r="E4" s="24" t="s">
        <v>287</v>
      </c>
      <c r="F4" s="24" t="s">
        <v>537</v>
      </c>
      <c r="G4" s="24" t="s">
        <v>187</v>
      </c>
      <c r="I4" s="24" t="s">
        <v>188</v>
      </c>
      <c r="J4" s="24" t="s">
        <v>189</v>
      </c>
      <c r="K4" s="24" t="s">
        <v>190</v>
      </c>
    </row>
    <row r="5" spans="1:11" ht="17.100000000000001" customHeight="1" x14ac:dyDescent="0.4">
      <c r="B5" s="25">
        <v>1</v>
      </c>
      <c r="C5" s="25">
        <v>1</v>
      </c>
      <c r="D5" s="25"/>
      <c r="E5" s="25" t="s">
        <v>638</v>
      </c>
      <c r="F5" s="26" t="s">
        <v>633</v>
      </c>
      <c r="G5" s="27">
        <v>578196570</v>
      </c>
      <c r="I5" s="25" t="str">
        <f>VLOOKUP(F5,科目マスタ!$B$2:$D$52,2,FALSE)</f>
        <v>CF税収等収入</v>
      </c>
      <c r="J5" s="25" t="str">
        <f>VLOOKUP(F5,科目マスタ!$B$2:$D$52,3,FALSE)</f>
        <v>NW税収等</v>
      </c>
      <c r="K5" s="28">
        <f>G5</f>
        <v>578196570</v>
      </c>
    </row>
    <row r="6" spans="1:11" ht="17.100000000000001" customHeight="1" x14ac:dyDescent="0.4">
      <c r="B6" s="25"/>
      <c r="C6" s="25">
        <v>2</v>
      </c>
      <c r="D6" s="25"/>
      <c r="E6" s="25" t="s">
        <v>639</v>
      </c>
      <c r="F6" s="26" t="s">
        <v>633</v>
      </c>
      <c r="G6" s="27">
        <v>665927786</v>
      </c>
      <c r="I6" s="25" t="str">
        <f>VLOOKUP(F6,科目マスタ!$B$2:$D$52,2,FALSE)</f>
        <v>CF税収等収入</v>
      </c>
      <c r="J6" s="25" t="str">
        <f>VLOOKUP(F6,科目マスタ!$B$2:$D$52,3,FALSE)</f>
        <v>NW税収等</v>
      </c>
      <c r="K6" s="28">
        <f>G6</f>
        <v>665927786</v>
      </c>
    </row>
    <row r="7" spans="1:11" ht="17.100000000000001" customHeight="1" x14ac:dyDescent="0.4">
      <c r="B7" s="25"/>
      <c r="C7" s="25">
        <v>3</v>
      </c>
      <c r="D7" s="25"/>
      <c r="E7" s="25" t="s">
        <v>640</v>
      </c>
      <c r="F7" s="26" t="s">
        <v>633</v>
      </c>
      <c r="G7" s="27">
        <v>44881600</v>
      </c>
      <c r="I7" s="25" t="str">
        <f>VLOOKUP(F7,科目マスタ!$B$2:$D$52,2,FALSE)</f>
        <v>CF税収等収入</v>
      </c>
      <c r="J7" s="25" t="str">
        <f>VLOOKUP(F7,科目マスタ!$B$2:$D$52,3,FALSE)</f>
        <v>NW税収等</v>
      </c>
      <c r="K7" s="28">
        <f t="shared" ref="K7:K44" si="0">G7</f>
        <v>44881600</v>
      </c>
    </row>
    <row r="8" spans="1:11" ht="17.100000000000001" customHeight="1" x14ac:dyDescent="0.4">
      <c r="B8" s="25"/>
      <c r="C8" s="25">
        <v>4</v>
      </c>
      <c r="D8" s="25"/>
      <c r="E8" s="25" t="s">
        <v>641</v>
      </c>
      <c r="F8" s="26" t="s">
        <v>633</v>
      </c>
      <c r="G8" s="27">
        <v>83410423</v>
      </c>
      <c r="I8" s="25" t="str">
        <f>VLOOKUP(F8,科目マスタ!$B$2:$D$52,2,FALSE)</f>
        <v>CF税収等収入</v>
      </c>
      <c r="J8" s="25" t="str">
        <f>VLOOKUP(F8,科目マスタ!$B$2:$D$52,3,FALSE)</f>
        <v>NW税収等</v>
      </c>
      <c r="K8" s="28">
        <f t="shared" si="0"/>
        <v>83410423</v>
      </c>
    </row>
    <row r="9" spans="1:11" ht="17.100000000000001" customHeight="1" x14ac:dyDescent="0.4">
      <c r="B9" s="25"/>
      <c r="C9" s="25">
        <v>5</v>
      </c>
      <c r="D9" s="25"/>
      <c r="E9" s="25" t="s">
        <v>671</v>
      </c>
      <c r="F9" s="26" t="s">
        <v>633</v>
      </c>
      <c r="G9" s="27">
        <v>2984800</v>
      </c>
      <c r="I9" s="25" t="str">
        <f>VLOOKUP(F9,科目マスタ!$B$2:$D$52,2,FALSE)</f>
        <v>CF税収等収入</v>
      </c>
      <c r="J9" s="25" t="str">
        <f>VLOOKUP(F9,科目マスタ!$B$2:$D$52,3,FALSE)</f>
        <v>NW税収等</v>
      </c>
      <c r="K9" s="28">
        <f t="shared" si="0"/>
        <v>2984800</v>
      </c>
    </row>
    <row r="10" spans="1:11" ht="17.100000000000001" customHeight="1" x14ac:dyDescent="0.4">
      <c r="B10" s="25"/>
      <c r="C10" s="25">
        <v>6</v>
      </c>
      <c r="D10" s="25"/>
      <c r="E10" s="25" t="s">
        <v>672</v>
      </c>
      <c r="F10" s="26" t="s">
        <v>633</v>
      </c>
      <c r="G10" s="27">
        <v>20891850</v>
      </c>
      <c r="I10" s="25" t="str">
        <f>VLOOKUP(F10,科目マスタ!$B$2:$D$52,2,FALSE)</f>
        <v>CF税収等収入</v>
      </c>
      <c r="J10" s="25" t="str">
        <f>VLOOKUP(F10,科目マスタ!$B$2:$D$52,3,FALSE)</f>
        <v>NW税収等</v>
      </c>
      <c r="K10" s="28">
        <f t="shared" si="0"/>
        <v>20891850</v>
      </c>
    </row>
    <row r="11" spans="1:11" ht="17.100000000000001" customHeight="1" x14ac:dyDescent="0.4">
      <c r="B11" s="25">
        <v>2</v>
      </c>
      <c r="C11" s="25">
        <v>1</v>
      </c>
      <c r="D11" s="25"/>
      <c r="E11" s="25" t="s">
        <v>642</v>
      </c>
      <c r="F11" s="26" t="s">
        <v>629</v>
      </c>
      <c r="G11" s="27">
        <v>17568000</v>
      </c>
      <c r="I11" s="25" t="str">
        <f>VLOOKUP(F11,科目マスタ!$B$2:$D$52,2,FALSE)</f>
        <v>CF税収等収入</v>
      </c>
      <c r="J11" s="25" t="str">
        <f>VLOOKUP(F11,科目マスタ!$B$2:$D$52,3,FALSE)</f>
        <v>NW税収等</v>
      </c>
      <c r="K11" s="28">
        <f t="shared" si="0"/>
        <v>17568000</v>
      </c>
    </row>
    <row r="12" spans="1:11" ht="17.100000000000001" customHeight="1" x14ac:dyDescent="0.4">
      <c r="B12" s="25"/>
      <c r="C12" s="25">
        <v>2</v>
      </c>
      <c r="D12" s="25"/>
      <c r="E12" s="25" t="s">
        <v>643</v>
      </c>
      <c r="F12" s="26" t="s">
        <v>629</v>
      </c>
      <c r="G12" s="27">
        <v>52963000</v>
      </c>
      <c r="I12" s="25" t="str">
        <f>VLOOKUP(F12,科目マスタ!$B$2:$D$52,2,FALSE)</f>
        <v>CF税収等収入</v>
      </c>
      <c r="J12" s="25" t="str">
        <f>VLOOKUP(F12,科目マスタ!$B$2:$D$52,3,FALSE)</f>
        <v>NW税収等</v>
      </c>
      <c r="K12" s="28">
        <f t="shared" si="0"/>
        <v>52963000</v>
      </c>
    </row>
    <row r="13" spans="1:11" ht="17.100000000000001" customHeight="1" x14ac:dyDescent="0.4">
      <c r="B13" s="25"/>
      <c r="C13" s="25">
        <v>3</v>
      </c>
      <c r="D13" s="25"/>
      <c r="E13" s="25" t="s">
        <v>644</v>
      </c>
      <c r="F13" s="26" t="s">
        <v>629</v>
      </c>
      <c r="G13" s="27">
        <v>1730000</v>
      </c>
      <c r="I13" s="25" t="str">
        <f>VLOOKUP(F13,科目マスタ!$B$2:$D$52,2,FALSE)</f>
        <v>CF税収等収入</v>
      </c>
      <c r="J13" s="25" t="str">
        <f>VLOOKUP(F13,科目マスタ!$B$2:$D$52,3,FALSE)</f>
        <v>NW税収等</v>
      </c>
      <c r="K13" s="28">
        <f t="shared" si="0"/>
        <v>1730000</v>
      </c>
    </row>
    <row r="14" spans="1:11" ht="17.100000000000001" customHeight="1" x14ac:dyDescent="0.4">
      <c r="B14" s="25">
        <v>3</v>
      </c>
      <c r="C14" s="25">
        <v>1</v>
      </c>
      <c r="D14" s="25"/>
      <c r="E14" s="25" t="s">
        <v>645</v>
      </c>
      <c r="F14" s="26" t="s">
        <v>634</v>
      </c>
      <c r="G14" s="27">
        <v>559000</v>
      </c>
      <c r="I14" s="25" t="str">
        <f>VLOOKUP(F14,科目マスタ!$B$2:$D$52,2,FALSE)</f>
        <v>CF税収等収入</v>
      </c>
      <c r="J14" s="25" t="str">
        <f>VLOOKUP(F14,科目マスタ!$B$2:$D$52,3,FALSE)</f>
        <v>NW税収等</v>
      </c>
      <c r="K14" s="28">
        <f t="shared" si="0"/>
        <v>559000</v>
      </c>
    </row>
    <row r="15" spans="1:11" ht="17.100000000000001" customHeight="1" x14ac:dyDescent="0.4">
      <c r="B15" s="25">
        <v>4</v>
      </c>
      <c r="C15" s="25">
        <v>1</v>
      </c>
      <c r="D15" s="25"/>
      <c r="E15" s="25" t="s">
        <v>646</v>
      </c>
      <c r="F15" s="26" t="s">
        <v>634</v>
      </c>
      <c r="G15" s="27">
        <v>7939000</v>
      </c>
      <c r="I15" s="25" t="str">
        <f>VLOOKUP(F15,科目マスタ!$B$2:$D$52,2,FALSE)</f>
        <v>CF税収等収入</v>
      </c>
      <c r="J15" s="25" t="str">
        <f>VLOOKUP(F15,科目マスタ!$B$2:$D$52,3,FALSE)</f>
        <v>NW税収等</v>
      </c>
      <c r="K15" s="28">
        <f t="shared" si="0"/>
        <v>7939000</v>
      </c>
    </row>
    <row r="16" spans="1:11" ht="17.100000000000001" customHeight="1" x14ac:dyDescent="0.4">
      <c r="B16" s="25">
        <v>5</v>
      </c>
      <c r="C16" s="25">
        <v>1</v>
      </c>
      <c r="D16" s="25"/>
      <c r="E16" s="25" t="s">
        <v>647</v>
      </c>
      <c r="F16" s="26" t="s">
        <v>634</v>
      </c>
      <c r="G16" s="27">
        <v>9480000</v>
      </c>
      <c r="I16" s="25" t="str">
        <f>VLOOKUP(F16,科目マスタ!$B$2:$D$52,2,FALSE)</f>
        <v>CF税収等収入</v>
      </c>
      <c r="J16" s="25" t="str">
        <f>VLOOKUP(F16,科目マスタ!$B$2:$D$52,3,FALSE)</f>
        <v>NW税収等</v>
      </c>
      <c r="K16" s="28">
        <f t="shared" si="0"/>
        <v>9480000</v>
      </c>
    </row>
    <row r="17" spans="2:11" ht="17.100000000000001" customHeight="1" x14ac:dyDescent="0.4">
      <c r="B17" s="25">
        <v>6</v>
      </c>
      <c r="C17" s="25">
        <v>1</v>
      </c>
      <c r="D17" s="25"/>
      <c r="E17" s="25" t="s">
        <v>648</v>
      </c>
      <c r="F17" s="26" t="s">
        <v>634</v>
      </c>
      <c r="G17" s="27">
        <v>16427000</v>
      </c>
      <c r="I17" s="25" t="str">
        <f>VLOOKUP(F17,科目マスタ!$B$2:$D$52,2,FALSE)</f>
        <v>CF税収等収入</v>
      </c>
      <c r="J17" s="25" t="str">
        <f>VLOOKUP(F17,科目マスタ!$B$2:$D$52,3,FALSE)</f>
        <v>NW税収等</v>
      </c>
      <c r="K17" s="28">
        <f t="shared" si="0"/>
        <v>16427000</v>
      </c>
    </row>
    <row r="18" spans="2:11" ht="17.100000000000001" customHeight="1" x14ac:dyDescent="0.4">
      <c r="B18" s="25">
        <v>7</v>
      </c>
      <c r="C18" s="25">
        <v>1</v>
      </c>
      <c r="D18" s="25"/>
      <c r="E18" s="25" t="s">
        <v>649</v>
      </c>
      <c r="F18" s="26" t="s">
        <v>634</v>
      </c>
      <c r="G18" s="27">
        <v>237885000</v>
      </c>
      <c r="I18" s="25" t="str">
        <f>VLOOKUP(F18,科目マスタ!$B$2:$D$52,2,FALSE)</f>
        <v>CF税収等収入</v>
      </c>
      <c r="J18" s="25" t="str">
        <f>VLOOKUP(F18,科目マスタ!$B$2:$D$52,3,FALSE)</f>
        <v>NW税収等</v>
      </c>
      <c r="K18" s="28">
        <f t="shared" si="0"/>
        <v>237885000</v>
      </c>
    </row>
    <row r="19" spans="2:11" ht="17.100000000000001" customHeight="1" x14ac:dyDescent="0.4">
      <c r="B19" s="25">
        <v>8</v>
      </c>
      <c r="C19" s="25">
        <v>1</v>
      </c>
      <c r="D19" s="25"/>
      <c r="E19" s="25" t="s">
        <v>673</v>
      </c>
      <c r="F19" s="26" t="s">
        <v>634</v>
      </c>
      <c r="G19" s="27">
        <v>856306</v>
      </c>
      <c r="I19" s="25" t="str">
        <f>VLOOKUP(F19,科目マスタ!$B$2:$D$52,2,FALSE)</f>
        <v>CF税収等収入</v>
      </c>
      <c r="J19" s="25" t="str">
        <f>VLOOKUP(F19,科目マスタ!$B$2:$D$52,3,FALSE)</f>
        <v>NW税収等</v>
      </c>
      <c r="K19" s="28">
        <f t="shared" si="0"/>
        <v>856306</v>
      </c>
    </row>
    <row r="20" spans="2:11" ht="17.100000000000001" customHeight="1" x14ac:dyDescent="0.4">
      <c r="B20" s="25">
        <v>9</v>
      </c>
      <c r="C20" s="25">
        <v>1</v>
      </c>
      <c r="D20" s="25"/>
      <c r="E20" s="25" t="s">
        <v>632</v>
      </c>
      <c r="F20" s="26" t="s">
        <v>634</v>
      </c>
      <c r="G20" s="27">
        <v>12187000</v>
      </c>
      <c r="I20" s="25" t="str">
        <f>VLOOKUP(F20,科目マスタ!$B$2:$D$52,2,FALSE)</f>
        <v>CF税収等収入</v>
      </c>
      <c r="J20" s="25" t="str">
        <f>VLOOKUP(F20,科目マスタ!$B$2:$D$52,3,FALSE)</f>
        <v>NW税収等</v>
      </c>
      <c r="K20" s="28">
        <f t="shared" si="0"/>
        <v>12187000</v>
      </c>
    </row>
    <row r="21" spans="2:11" ht="17.100000000000001" customHeight="1" x14ac:dyDescent="0.4">
      <c r="B21" s="25">
        <v>10</v>
      </c>
      <c r="C21" s="25">
        <v>1</v>
      </c>
      <c r="D21" s="25"/>
      <c r="E21" s="25" t="s">
        <v>651</v>
      </c>
      <c r="F21" s="26" t="s">
        <v>630</v>
      </c>
      <c r="G21" s="27">
        <v>4631000</v>
      </c>
      <c r="I21" s="25" t="str">
        <f>VLOOKUP(F21,科目マスタ!$B$2:$D$52,2,FALSE)</f>
        <v>CF税収等収入</v>
      </c>
      <c r="J21" s="25" t="str">
        <f>VLOOKUP(F21,科目マスタ!$B$2:$D$52,3,FALSE)</f>
        <v>NW税収等</v>
      </c>
      <c r="K21" s="29">
        <f t="shared" si="0"/>
        <v>4631000</v>
      </c>
    </row>
    <row r="22" spans="2:11" ht="17.100000000000001" customHeight="1" x14ac:dyDescent="0.4">
      <c r="B22" s="25"/>
      <c r="C22" s="25">
        <v>2</v>
      </c>
      <c r="D22" s="25"/>
      <c r="E22" s="25" t="s">
        <v>674</v>
      </c>
      <c r="F22" s="26" t="s">
        <v>634</v>
      </c>
      <c r="G22" s="27">
        <v>2019000</v>
      </c>
      <c r="I22" s="25" t="str">
        <f>VLOOKUP(F22,科目マスタ!$B$2:$D$52,2,FALSE)</f>
        <v>CF税収等収入</v>
      </c>
      <c r="J22" s="25" t="str">
        <f>VLOOKUP(F22,科目マスタ!$B$2:$D$52,3,FALSE)</f>
        <v>NW税収等</v>
      </c>
      <c r="K22" s="29">
        <f t="shared" si="0"/>
        <v>2019000</v>
      </c>
    </row>
    <row r="23" spans="2:11" ht="17.100000000000001" customHeight="1" x14ac:dyDescent="0.4">
      <c r="B23" s="25">
        <v>11</v>
      </c>
      <c r="C23" s="25">
        <v>1</v>
      </c>
      <c r="D23" s="25"/>
      <c r="E23" s="25" t="s">
        <v>652</v>
      </c>
      <c r="F23" s="26" t="s">
        <v>289</v>
      </c>
      <c r="G23" s="27">
        <v>1799086000</v>
      </c>
      <c r="I23" s="25" t="str">
        <f>VLOOKUP(F23,科目マスタ!$B$2:$D$52,2,FALSE)</f>
        <v>CF税収等収入</v>
      </c>
      <c r="J23" s="25" t="str">
        <f>VLOOKUP(F23,科目マスタ!$B$2:$D$52,3,FALSE)</f>
        <v>NW税収等</v>
      </c>
      <c r="K23" s="29">
        <f t="shared" si="0"/>
        <v>1799086000</v>
      </c>
    </row>
    <row r="24" spans="2:11" ht="17.100000000000001" customHeight="1" x14ac:dyDescent="0.4">
      <c r="B24" s="25">
        <v>12</v>
      </c>
      <c r="C24" s="25">
        <v>1</v>
      </c>
      <c r="D24" s="25"/>
      <c r="E24" s="25" t="s">
        <v>650</v>
      </c>
      <c r="F24" s="26" t="s">
        <v>631</v>
      </c>
      <c r="G24" s="27">
        <v>1720000</v>
      </c>
      <c r="I24" s="25" t="str">
        <f>VLOOKUP(F24,科目マスタ!$B$2:$D$52,2,FALSE)</f>
        <v>CF税収等収入</v>
      </c>
      <c r="J24" s="25" t="str">
        <f>VLOOKUP(F24,科目マスタ!$B$2:$D$52,3,FALSE)</f>
        <v>NW税収等</v>
      </c>
      <c r="K24" s="29">
        <f t="shared" si="0"/>
        <v>1720000</v>
      </c>
    </row>
    <row r="25" spans="2:11" ht="17.100000000000001" customHeight="1" x14ac:dyDescent="0.4">
      <c r="B25" s="25">
        <v>13</v>
      </c>
      <c r="C25" s="25">
        <v>1</v>
      </c>
      <c r="D25" s="25"/>
      <c r="E25" s="25" t="s">
        <v>653</v>
      </c>
      <c r="F25" s="26" t="s">
        <v>328</v>
      </c>
      <c r="G25" s="27">
        <v>18086700</v>
      </c>
      <c r="I25" s="25" t="str">
        <f>VLOOKUP(F25,科目マスタ!$B$2:$D$52,2,FALSE)</f>
        <v>CF税収等収入</v>
      </c>
      <c r="J25" s="25" t="str">
        <f>VLOOKUP(F25,科目マスタ!$B$2:$D$52,3,FALSE)</f>
        <v>NW税収等</v>
      </c>
      <c r="K25" s="29">
        <f t="shared" si="0"/>
        <v>18086700</v>
      </c>
    </row>
    <row r="26" spans="2:11" ht="17.100000000000001" customHeight="1" x14ac:dyDescent="0.4">
      <c r="B26" s="25">
        <v>14</v>
      </c>
      <c r="C26" s="25">
        <v>1</v>
      </c>
      <c r="D26" s="25"/>
      <c r="E26" s="25" t="s">
        <v>654</v>
      </c>
      <c r="F26" s="26" t="s">
        <v>292</v>
      </c>
      <c r="G26" s="27">
        <v>44625338</v>
      </c>
      <c r="I26" s="25" t="str">
        <f>VLOOKUP(F26,科目マスタ!$B$2:$D$52,2,FALSE)</f>
        <v>CF使用料及び手数料収入</v>
      </c>
      <c r="J26" s="25" t="str">
        <f>VLOOKUP(F26,科目マスタ!$B$2:$D$52,3,FALSE)</f>
        <v>PL使用料及び手数料</v>
      </c>
      <c r="K26" s="29">
        <f t="shared" si="0"/>
        <v>44625338</v>
      </c>
    </row>
    <row r="27" spans="2:11" ht="17.100000000000001" customHeight="1" x14ac:dyDescent="0.4">
      <c r="B27" s="25"/>
      <c r="C27" s="25">
        <v>2</v>
      </c>
      <c r="D27" s="25"/>
      <c r="E27" s="25" t="s">
        <v>655</v>
      </c>
      <c r="F27" s="26" t="s">
        <v>292</v>
      </c>
      <c r="G27" s="27">
        <v>5784910</v>
      </c>
      <c r="I27" s="25" t="str">
        <f>VLOOKUP(F27,科目マスタ!$B$2:$D$52,2,FALSE)</f>
        <v>CF使用料及び手数料収入</v>
      </c>
      <c r="J27" s="25" t="str">
        <f>VLOOKUP(F27,科目マスタ!$B$2:$D$52,3,FALSE)</f>
        <v>PL使用料及び手数料</v>
      </c>
      <c r="K27" s="29">
        <f t="shared" si="0"/>
        <v>5784910</v>
      </c>
    </row>
    <row r="28" spans="2:11" ht="17.100000000000001" customHeight="1" x14ac:dyDescent="0.4">
      <c r="B28" s="25">
        <v>15</v>
      </c>
      <c r="C28" s="25">
        <v>1</v>
      </c>
      <c r="D28" s="25"/>
      <c r="E28" s="25" t="s">
        <v>656</v>
      </c>
      <c r="F28" s="26" t="s">
        <v>191</v>
      </c>
      <c r="G28" s="27">
        <v>286355474</v>
      </c>
      <c r="I28" s="25" t="str">
        <f>VLOOKUP(F28,科目マスタ!$B$2:$D$52,2,FALSE)</f>
        <v>CF国県等補助金収入（業務収入）</v>
      </c>
      <c r="J28" s="25" t="str">
        <f>VLOOKUP(F28,科目マスタ!$B$2:$D$52,3,FALSE)</f>
        <v>NW国県等補助金</v>
      </c>
      <c r="K28" s="29">
        <f t="shared" si="0"/>
        <v>286355474</v>
      </c>
    </row>
    <row r="29" spans="2:11" ht="17.100000000000001" customHeight="1" x14ac:dyDescent="0.4">
      <c r="B29" s="25"/>
      <c r="C29" s="25">
        <v>2</v>
      </c>
      <c r="D29" s="25"/>
      <c r="E29" s="25" t="s">
        <v>657</v>
      </c>
      <c r="F29" s="26" t="s">
        <v>191</v>
      </c>
      <c r="G29" s="27">
        <v>281923466</v>
      </c>
      <c r="I29" s="25" t="str">
        <f>VLOOKUP(F29,科目マスタ!$B$2:$D$52,2,FALSE)</f>
        <v>CF国県等補助金収入（業務収入）</v>
      </c>
      <c r="J29" s="25" t="str">
        <f>VLOOKUP(F29,科目マスタ!$B$2:$D$52,3,FALSE)</f>
        <v>NW国県等補助金</v>
      </c>
      <c r="K29" s="29">
        <f t="shared" si="0"/>
        <v>281923466</v>
      </c>
    </row>
    <row r="30" spans="2:11" ht="17.100000000000001" customHeight="1" x14ac:dyDescent="0.4">
      <c r="B30" s="25"/>
      <c r="C30" s="25">
        <v>3</v>
      </c>
      <c r="D30" s="25"/>
      <c r="E30" s="25" t="s">
        <v>658</v>
      </c>
      <c r="F30" s="26" t="s">
        <v>193</v>
      </c>
      <c r="G30" s="27">
        <v>3279747</v>
      </c>
      <c r="I30" s="25" t="str">
        <f>VLOOKUP(F30,科目マスタ!$B$2:$D$52,2,FALSE)</f>
        <v>CF国県等補助金収入（投資活動）</v>
      </c>
      <c r="J30" s="25" t="str">
        <f>VLOOKUP(F30,科目マスタ!$B$2:$D$52,3,FALSE)</f>
        <v>NW国県等補助金</v>
      </c>
      <c r="K30" s="29">
        <f t="shared" si="0"/>
        <v>3279747</v>
      </c>
    </row>
    <row r="31" spans="2:11" ht="17.100000000000001" customHeight="1" x14ac:dyDescent="0.4">
      <c r="B31" s="25">
        <v>16</v>
      </c>
      <c r="C31" s="25">
        <v>1</v>
      </c>
      <c r="D31" s="25"/>
      <c r="E31" s="25" t="s">
        <v>659</v>
      </c>
      <c r="F31" s="26" t="s">
        <v>194</v>
      </c>
      <c r="G31" s="27">
        <v>163287780</v>
      </c>
      <c r="I31" s="25" t="str">
        <f>VLOOKUP(F31,科目マスタ!$B$2:$D$52,2,FALSE)</f>
        <v>CF国県等補助金収入（業務収入）</v>
      </c>
      <c r="J31" s="25" t="str">
        <f>VLOOKUP(F31,科目マスタ!$B$2:$D$52,3,FALSE)</f>
        <v>NW国県等補助金</v>
      </c>
      <c r="K31" s="29">
        <f t="shared" si="0"/>
        <v>163287780</v>
      </c>
    </row>
    <row r="32" spans="2:11" ht="17.100000000000001" customHeight="1" x14ac:dyDescent="0.4">
      <c r="B32" s="25"/>
      <c r="C32" s="25">
        <v>2</v>
      </c>
      <c r="D32" s="25"/>
      <c r="E32" s="25" t="s">
        <v>660</v>
      </c>
      <c r="F32" s="26" t="s">
        <v>194</v>
      </c>
      <c r="G32" s="27">
        <v>139699208</v>
      </c>
      <c r="I32" s="25" t="str">
        <f>VLOOKUP(F32,科目マスタ!$B$2:$D$52,2,FALSE)</f>
        <v>CF国県等補助金収入（業務収入）</v>
      </c>
      <c r="J32" s="25" t="str">
        <f>VLOOKUP(F32,科目マスタ!$B$2:$D$52,3,FALSE)</f>
        <v>NW国県等補助金</v>
      </c>
      <c r="K32" s="29">
        <f t="shared" si="0"/>
        <v>139699208</v>
      </c>
    </row>
    <row r="33" spans="2:11" ht="17.100000000000001" customHeight="1" x14ac:dyDescent="0.4">
      <c r="B33" s="25"/>
      <c r="C33" s="25">
        <v>3</v>
      </c>
      <c r="D33" s="25"/>
      <c r="E33" s="25" t="s">
        <v>658</v>
      </c>
      <c r="F33" s="26" t="s">
        <v>196</v>
      </c>
      <c r="G33" s="27">
        <v>28332272</v>
      </c>
      <c r="I33" s="25" t="str">
        <f>VLOOKUP(F33,科目マスタ!$B$2:$D$52,2,FALSE)</f>
        <v>CF国県等補助金収入（投資活動）</v>
      </c>
      <c r="J33" s="25" t="str">
        <f>VLOOKUP(F33,科目マスタ!$B$2:$D$52,3,FALSE)</f>
        <v>NW国県等補助金</v>
      </c>
      <c r="K33" s="29">
        <f t="shared" si="0"/>
        <v>28332272</v>
      </c>
    </row>
    <row r="34" spans="2:11" ht="17.100000000000001" customHeight="1" x14ac:dyDescent="0.4">
      <c r="B34" s="25">
        <v>17</v>
      </c>
      <c r="C34" s="25">
        <v>1</v>
      </c>
      <c r="D34" s="25"/>
      <c r="E34" s="25" t="s">
        <v>661</v>
      </c>
      <c r="F34" s="26" t="s">
        <v>197</v>
      </c>
      <c r="G34" s="27">
        <v>1455207</v>
      </c>
      <c r="I34" s="25" t="str">
        <f>VLOOKUP(F34,科目マスタ!$B$2:$D$52,2,FALSE)</f>
        <v>CFその他の収入（業務収入）</v>
      </c>
      <c r="J34" s="25" t="str">
        <f>VLOOKUP(F34,科目マスタ!$B$2:$D$52,3,FALSE)</f>
        <v>PLその他（経常収益）</v>
      </c>
      <c r="K34" s="29">
        <f t="shared" ref="K34" si="1">G34</f>
        <v>1455207</v>
      </c>
    </row>
    <row r="35" spans="2:11" ht="17.100000000000001" customHeight="1" x14ac:dyDescent="0.4">
      <c r="B35" s="25"/>
      <c r="C35" s="25">
        <v>2</v>
      </c>
      <c r="D35" s="25"/>
      <c r="E35" s="25" t="s">
        <v>669</v>
      </c>
      <c r="F35" s="26" t="s">
        <v>294</v>
      </c>
      <c r="G35" s="27">
        <v>1129864</v>
      </c>
      <c r="I35" s="25" t="str">
        <f>VLOOKUP(F35,科目マスタ!$B$2:$D$52,2,FALSE)</f>
        <v>CF資産売却収入</v>
      </c>
      <c r="J35" s="25" t="str">
        <f>VLOOKUP(F35,科目マスタ!$B$2:$D$52,3,FALSE)</f>
        <v>PL資産売却益</v>
      </c>
      <c r="K35" s="29">
        <f t="shared" si="0"/>
        <v>1129864</v>
      </c>
    </row>
    <row r="36" spans="2:11" ht="17.100000000000001" customHeight="1" x14ac:dyDescent="0.4">
      <c r="B36" s="25">
        <v>18</v>
      </c>
      <c r="C36" s="25">
        <v>1</v>
      </c>
      <c r="D36" s="25"/>
      <c r="E36" s="25" t="s">
        <v>662</v>
      </c>
      <c r="F36" s="26" t="s">
        <v>295</v>
      </c>
      <c r="G36" s="27">
        <v>257145142</v>
      </c>
      <c r="I36" s="25" t="str">
        <f>VLOOKUP(F36,科目マスタ!$B$2:$D$52,2,FALSE)</f>
        <v>CF税収等収入</v>
      </c>
      <c r="J36" s="25" t="str">
        <f>VLOOKUP(F36,科目マスタ!$B$2:$D$52,3,FALSE)</f>
        <v>NW税収等</v>
      </c>
      <c r="K36" s="28">
        <f t="shared" si="0"/>
        <v>257145142</v>
      </c>
    </row>
    <row r="37" spans="2:11" ht="17.100000000000001" customHeight="1" x14ac:dyDescent="0.4">
      <c r="B37" s="25">
        <v>19</v>
      </c>
      <c r="C37" s="25">
        <v>1</v>
      </c>
      <c r="D37" s="25"/>
      <c r="E37" s="25" t="s">
        <v>663</v>
      </c>
      <c r="F37" s="26" t="s">
        <v>221</v>
      </c>
      <c r="G37" s="27">
        <v>131390916</v>
      </c>
      <c r="I37" s="25" t="str">
        <f>VLOOKUP(F37,科目マスタ!$B$2:$D$52,2,FALSE)</f>
        <v>CF基金取崩収入</v>
      </c>
      <c r="J37" s="25" t="str">
        <f>VLOOKUP(F37,科目マスタ!$B$2:$D$52,3,FALSE)</f>
        <v>BSその他（基金）</v>
      </c>
      <c r="K37" s="28">
        <f t="shared" si="0"/>
        <v>131390916</v>
      </c>
    </row>
    <row r="38" spans="2:11" ht="17.100000000000001" customHeight="1" x14ac:dyDescent="0.4">
      <c r="B38" s="25"/>
      <c r="C38" s="25">
        <v>2</v>
      </c>
      <c r="D38" s="25"/>
      <c r="E38" s="25" t="s">
        <v>664</v>
      </c>
      <c r="F38" s="26" t="s">
        <v>217</v>
      </c>
      <c r="G38" s="27">
        <v>3846252</v>
      </c>
      <c r="I38" s="25" t="str">
        <f>VLOOKUP(F38,科目マスタ!$B$2:$D$52,2,FALSE)</f>
        <v>CF税収等収入</v>
      </c>
      <c r="J38" s="25" t="str">
        <f>VLOOKUP(F38,科目マスタ!$B$2:$D$52,3,FALSE)</f>
        <v>NW税収等</v>
      </c>
      <c r="K38" s="28">
        <f t="shared" si="0"/>
        <v>3846252</v>
      </c>
    </row>
    <row r="39" spans="2:11" ht="17.100000000000001" customHeight="1" x14ac:dyDescent="0.4">
      <c r="B39" s="30">
        <v>20</v>
      </c>
      <c r="C39" s="30">
        <v>1</v>
      </c>
      <c r="D39" s="30"/>
      <c r="E39" s="30" t="s">
        <v>222</v>
      </c>
      <c r="F39" s="31"/>
      <c r="G39" s="27">
        <v>331505838</v>
      </c>
      <c r="I39" s="30" t="s">
        <v>223</v>
      </c>
      <c r="J39" s="31"/>
      <c r="K39" s="32"/>
    </row>
    <row r="40" spans="2:11" ht="17.100000000000001" customHeight="1" x14ac:dyDescent="0.4">
      <c r="B40" s="25">
        <v>21</v>
      </c>
      <c r="C40" s="25">
        <v>1</v>
      </c>
      <c r="D40" s="25"/>
      <c r="E40" s="25" t="s">
        <v>665</v>
      </c>
      <c r="F40" s="26" t="s">
        <v>224</v>
      </c>
      <c r="G40" s="27">
        <v>2912882</v>
      </c>
      <c r="I40" s="25" t="str">
        <f>VLOOKUP(F40,科目マスタ!$B$2:$D$52,2,FALSE)</f>
        <v>CFその他の収入（業務収入）</v>
      </c>
      <c r="J40" s="25" t="str">
        <f>VLOOKUP(F40,科目マスタ!$B$2:$D$52,3,FALSE)</f>
        <v>PLその他（経常収益）</v>
      </c>
      <c r="K40" s="28">
        <f t="shared" si="0"/>
        <v>2912882</v>
      </c>
    </row>
    <row r="41" spans="2:11" ht="17.100000000000001" customHeight="1" x14ac:dyDescent="0.4">
      <c r="B41" s="25"/>
      <c r="C41" s="25">
        <v>2</v>
      </c>
      <c r="D41" s="25"/>
      <c r="E41" s="25" t="s">
        <v>666</v>
      </c>
      <c r="F41" s="26" t="s">
        <v>329</v>
      </c>
      <c r="G41" s="27">
        <v>11507</v>
      </c>
      <c r="I41" s="25" t="str">
        <f>VLOOKUP(F41,科目マスタ!$B$2:$D$52,2,FALSE)</f>
        <v>CFその他の収入（業務収入）</v>
      </c>
      <c r="J41" s="25" t="str">
        <f>VLOOKUP(F41,科目マスタ!$B$2:$D$52,3,FALSE)</f>
        <v>PLその他（経常収益）</v>
      </c>
      <c r="K41" s="28">
        <f t="shared" si="0"/>
        <v>11507</v>
      </c>
    </row>
    <row r="42" spans="2:11" ht="17.100000000000001" customHeight="1" x14ac:dyDescent="0.4">
      <c r="B42" s="25"/>
      <c r="C42" s="25">
        <v>3</v>
      </c>
      <c r="D42" s="25"/>
      <c r="E42" s="25" t="s">
        <v>675</v>
      </c>
      <c r="F42" s="26" t="s">
        <v>541</v>
      </c>
      <c r="G42" s="27">
        <v>19549802</v>
      </c>
      <c r="I42" s="25" t="str">
        <f>VLOOKUP(F42,科目マスタ!$B$2:$D$52,2,FALSE)</f>
        <v>CFその他の収入（業務収入）</v>
      </c>
      <c r="J42" s="25" t="str">
        <f>VLOOKUP(F42,科目マスタ!$B$2:$D$52,3,FALSE)</f>
        <v>PLその他（経常収益）</v>
      </c>
      <c r="K42" s="28">
        <f t="shared" si="0"/>
        <v>19549802</v>
      </c>
    </row>
    <row r="43" spans="2:11" ht="17.100000000000001" customHeight="1" x14ac:dyDescent="0.4">
      <c r="B43" s="25"/>
      <c r="C43" s="25">
        <v>4</v>
      </c>
      <c r="D43" s="25"/>
      <c r="E43" s="25" t="s">
        <v>667</v>
      </c>
      <c r="F43" s="26" t="s">
        <v>225</v>
      </c>
      <c r="G43" s="27">
        <v>65954447</v>
      </c>
      <c r="I43" s="25" t="str">
        <f>VLOOKUP(F43,科目マスタ!$B$2:$D$52,2,FALSE)</f>
        <v>CFその他の収入（業務収入）</v>
      </c>
      <c r="J43" s="25" t="str">
        <f>VLOOKUP(F43,科目マスタ!$B$2:$D$52,3,FALSE)</f>
        <v>PLその他（経常収益）</v>
      </c>
      <c r="K43" s="28">
        <f t="shared" si="0"/>
        <v>65954447</v>
      </c>
    </row>
    <row r="44" spans="2:11" ht="17.100000000000001" customHeight="1" x14ac:dyDescent="0.4">
      <c r="B44" s="25">
        <v>22</v>
      </c>
      <c r="C44" s="25">
        <v>1</v>
      </c>
      <c r="D44" s="25"/>
      <c r="E44" s="25" t="s">
        <v>668</v>
      </c>
      <c r="F44" s="26" t="s">
        <v>301</v>
      </c>
      <c r="G44" s="27">
        <v>114688000</v>
      </c>
      <c r="I44" s="25" t="str">
        <f>VLOOKUP(F44,科目マスタ!$B$2:$D$52,2,FALSE)</f>
        <v>CF地方債発行収入</v>
      </c>
      <c r="J44" s="25" t="str">
        <f>VLOOKUP(F44,科目マスタ!$B$2:$D$52,3,FALSE)</f>
        <v>BS地方債</v>
      </c>
      <c r="K44" s="28">
        <f t="shared" si="0"/>
        <v>114688000</v>
      </c>
    </row>
    <row r="45" spans="2:11" ht="17.100000000000001" customHeight="1" x14ac:dyDescent="0.4">
      <c r="B45" s="33"/>
      <c r="C45" s="33"/>
      <c r="D45" s="33"/>
      <c r="E45" s="33" t="s">
        <v>226</v>
      </c>
      <c r="F45" s="33"/>
      <c r="G45" s="28">
        <f>SUM(G5:G44)</f>
        <v>5462308087</v>
      </c>
      <c r="I45" s="25"/>
      <c r="J45" s="33" t="s">
        <v>226</v>
      </c>
      <c r="K45" s="28">
        <f>SUM(K5:K44)</f>
        <v>5130802249</v>
      </c>
    </row>
    <row r="46" spans="2:11" ht="17.100000000000001" customHeight="1" x14ac:dyDescent="0.4">
      <c r="J46" s="25" t="s">
        <v>227</v>
      </c>
      <c r="K46" s="28">
        <f>G39</f>
        <v>331505838</v>
      </c>
    </row>
    <row r="47" spans="2:11" ht="17.100000000000001" customHeight="1" x14ac:dyDescent="0.4">
      <c r="J47" s="38" t="s">
        <v>228</v>
      </c>
      <c r="K47" s="39">
        <f>G45-K45-K46</f>
        <v>0</v>
      </c>
    </row>
  </sheetData>
  <phoneticPr fontId="1"/>
  <dataValidations count="2">
    <dataValidation type="list" allowBlank="1" showInputMessage="1" showErrorMessage="1" sqref="WVQ983078:WVR983084 WBY983078:WBZ983084 I65542:J65572 JE65542:JF65572 TA65542:TB65572 ACW65542:ACX65572 AMS65542:AMT65572 AWO65542:AWP65572 BGK65542:BGL65572 BQG65542:BQH65572 CAC65542:CAD65572 CJY65542:CJZ65572 CTU65542:CTV65572 DDQ65542:DDR65572 DNM65542:DNN65572 DXI65542:DXJ65572 EHE65542:EHF65572 ERA65542:ERB65572 FAW65542:FAX65572 FKS65542:FKT65572 FUO65542:FUP65572 GEK65542:GEL65572 GOG65542:GOH65572 GYC65542:GYD65572 HHY65542:HHZ65572 HRU65542:HRV65572 IBQ65542:IBR65572 ILM65542:ILN65572 IVI65542:IVJ65572 JFE65542:JFF65572 JPA65542:JPB65572 JYW65542:JYX65572 KIS65542:KIT65572 KSO65542:KSP65572 LCK65542:LCL65572 LMG65542:LMH65572 LWC65542:LWD65572 MFY65542:MFZ65572 MPU65542:MPV65572 MZQ65542:MZR65572 NJM65542:NJN65572 NTI65542:NTJ65572 ODE65542:ODF65572 ONA65542:ONB65572 OWW65542:OWX65572 PGS65542:PGT65572 PQO65542:PQP65572 QAK65542:QAL65572 QKG65542:QKH65572 QUC65542:QUD65572 RDY65542:RDZ65572 RNU65542:RNV65572 RXQ65542:RXR65572 SHM65542:SHN65572 SRI65542:SRJ65572 TBE65542:TBF65572 TLA65542:TLB65572 TUW65542:TUX65572 UES65542:UET65572 UOO65542:UOP65572 UYK65542:UYL65572 VIG65542:VIH65572 VSC65542:VSD65572 WBY65542:WBZ65572 WLU65542:WLV65572 WVQ65542:WVR65572 I131078:J131108 JE131078:JF131108 TA131078:TB131108 ACW131078:ACX131108 AMS131078:AMT131108 AWO131078:AWP131108 BGK131078:BGL131108 BQG131078:BQH131108 CAC131078:CAD131108 CJY131078:CJZ131108 CTU131078:CTV131108 DDQ131078:DDR131108 DNM131078:DNN131108 DXI131078:DXJ131108 EHE131078:EHF131108 ERA131078:ERB131108 FAW131078:FAX131108 FKS131078:FKT131108 FUO131078:FUP131108 GEK131078:GEL131108 GOG131078:GOH131108 GYC131078:GYD131108 HHY131078:HHZ131108 HRU131078:HRV131108 IBQ131078:IBR131108 ILM131078:ILN131108 IVI131078:IVJ131108 JFE131078:JFF131108 JPA131078:JPB131108 JYW131078:JYX131108 KIS131078:KIT131108 KSO131078:KSP131108 LCK131078:LCL131108 LMG131078:LMH131108 LWC131078:LWD131108 MFY131078:MFZ131108 MPU131078:MPV131108 MZQ131078:MZR131108 NJM131078:NJN131108 NTI131078:NTJ131108 ODE131078:ODF131108 ONA131078:ONB131108 OWW131078:OWX131108 PGS131078:PGT131108 PQO131078:PQP131108 QAK131078:QAL131108 QKG131078:QKH131108 QUC131078:QUD131108 RDY131078:RDZ131108 RNU131078:RNV131108 RXQ131078:RXR131108 SHM131078:SHN131108 SRI131078:SRJ131108 TBE131078:TBF131108 TLA131078:TLB131108 TUW131078:TUX131108 UES131078:UET131108 UOO131078:UOP131108 UYK131078:UYL131108 VIG131078:VIH131108 VSC131078:VSD131108 WBY131078:WBZ131108 WLU131078:WLV131108 WVQ131078:WVR131108 I196614:J196644 JE196614:JF196644 TA196614:TB196644 ACW196614:ACX196644 AMS196614:AMT196644 AWO196614:AWP196644 BGK196614:BGL196644 BQG196614:BQH196644 CAC196614:CAD196644 CJY196614:CJZ196644 CTU196614:CTV196644 DDQ196614:DDR196644 DNM196614:DNN196644 DXI196614:DXJ196644 EHE196614:EHF196644 ERA196614:ERB196644 FAW196614:FAX196644 FKS196614:FKT196644 FUO196614:FUP196644 GEK196614:GEL196644 GOG196614:GOH196644 GYC196614:GYD196644 HHY196614:HHZ196644 HRU196614:HRV196644 IBQ196614:IBR196644 ILM196614:ILN196644 IVI196614:IVJ196644 JFE196614:JFF196644 JPA196614:JPB196644 JYW196614:JYX196644 KIS196614:KIT196644 KSO196614:KSP196644 LCK196614:LCL196644 LMG196614:LMH196644 LWC196614:LWD196644 MFY196614:MFZ196644 MPU196614:MPV196644 MZQ196614:MZR196644 NJM196614:NJN196644 NTI196614:NTJ196644 ODE196614:ODF196644 ONA196614:ONB196644 OWW196614:OWX196644 PGS196614:PGT196644 PQO196614:PQP196644 QAK196614:QAL196644 QKG196614:QKH196644 QUC196614:QUD196644 RDY196614:RDZ196644 RNU196614:RNV196644 RXQ196614:RXR196644 SHM196614:SHN196644 SRI196614:SRJ196644 TBE196614:TBF196644 TLA196614:TLB196644 TUW196614:TUX196644 UES196614:UET196644 UOO196614:UOP196644 UYK196614:UYL196644 VIG196614:VIH196644 VSC196614:VSD196644 WBY196614:WBZ196644 WLU196614:WLV196644 WVQ196614:WVR196644 I262150:J262180 JE262150:JF262180 TA262150:TB262180 ACW262150:ACX262180 AMS262150:AMT262180 AWO262150:AWP262180 BGK262150:BGL262180 BQG262150:BQH262180 CAC262150:CAD262180 CJY262150:CJZ262180 CTU262150:CTV262180 DDQ262150:DDR262180 DNM262150:DNN262180 DXI262150:DXJ262180 EHE262150:EHF262180 ERA262150:ERB262180 FAW262150:FAX262180 FKS262150:FKT262180 FUO262150:FUP262180 GEK262150:GEL262180 GOG262150:GOH262180 GYC262150:GYD262180 HHY262150:HHZ262180 HRU262150:HRV262180 IBQ262150:IBR262180 ILM262150:ILN262180 IVI262150:IVJ262180 JFE262150:JFF262180 JPA262150:JPB262180 JYW262150:JYX262180 KIS262150:KIT262180 KSO262150:KSP262180 LCK262150:LCL262180 LMG262150:LMH262180 LWC262150:LWD262180 MFY262150:MFZ262180 MPU262150:MPV262180 MZQ262150:MZR262180 NJM262150:NJN262180 NTI262150:NTJ262180 ODE262150:ODF262180 ONA262150:ONB262180 OWW262150:OWX262180 PGS262150:PGT262180 PQO262150:PQP262180 QAK262150:QAL262180 QKG262150:QKH262180 QUC262150:QUD262180 RDY262150:RDZ262180 RNU262150:RNV262180 RXQ262150:RXR262180 SHM262150:SHN262180 SRI262150:SRJ262180 TBE262150:TBF262180 TLA262150:TLB262180 TUW262150:TUX262180 UES262150:UET262180 UOO262150:UOP262180 UYK262150:UYL262180 VIG262150:VIH262180 VSC262150:VSD262180 WBY262150:WBZ262180 WLU262150:WLV262180 WVQ262150:WVR262180 I327686:J327716 JE327686:JF327716 TA327686:TB327716 ACW327686:ACX327716 AMS327686:AMT327716 AWO327686:AWP327716 BGK327686:BGL327716 BQG327686:BQH327716 CAC327686:CAD327716 CJY327686:CJZ327716 CTU327686:CTV327716 DDQ327686:DDR327716 DNM327686:DNN327716 DXI327686:DXJ327716 EHE327686:EHF327716 ERA327686:ERB327716 FAW327686:FAX327716 FKS327686:FKT327716 FUO327686:FUP327716 GEK327686:GEL327716 GOG327686:GOH327716 GYC327686:GYD327716 HHY327686:HHZ327716 HRU327686:HRV327716 IBQ327686:IBR327716 ILM327686:ILN327716 IVI327686:IVJ327716 JFE327686:JFF327716 JPA327686:JPB327716 JYW327686:JYX327716 KIS327686:KIT327716 KSO327686:KSP327716 LCK327686:LCL327716 LMG327686:LMH327716 LWC327686:LWD327716 MFY327686:MFZ327716 MPU327686:MPV327716 MZQ327686:MZR327716 NJM327686:NJN327716 NTI327686:NTJ327716 ODE327686:ODF327716 ONA327686:ONB327716 OWW327686:OWX327716 PGS327686:PGT327716 PQO327686:PQP327716 QAK327686:QAL327716 QKG327686:QKH327716 QUC327686:QUD327716 RDY327686:RDZ327716 RNU327686:RNV327716 RXQ327686:RXR327716 SHM327686:SHN327716 SRI327686:SRJ327716 TBE327686:TBF327716 TLA327686:TLB327716 TUW327686:TUX327716 UES327686:UET327716 UOO327686:UOP327716 UYK327686:UYL327716 VIG327686:VIH327716 VSC327686:VSD327716 WBY327686:WBZ327716 WLU327686:WLV327716 WVQ327686:WVR327716 I393222:J393252 JE393222:JF393252 TA393222:TB393252 ACW393222:ACX393252 AMS393222:AMT393252 AWO393222:AWP393252 BGK393222:BGL393252 BQG393222:BQH393252 CAC393222:CAD393252 CJY393222:CJZ393252 CTU393222:CTV393252 DDQ393222:DDR393252 DNM393222:DNN393252 DXI393222:DXJ393252 EHE393222:EHF393252 ERA393222:ERB393252 FAW393222:FAX393252 FKS393222:FKT393252 FUO393222:FUP393252 GEK393222:GEL393252 GOG393222:GOH393252 GYC393222:GYD393252 HHY393222:HHZ393252 HRU393222:HRV393252 IBQ393222:IBR393252 ILM393222:ILN393252 IVI393222:IVJ393252 JFE393222:JFF393252 JPA393222:JPB393252 JYW393222:JYX393252 KIS393222:KIT393252 KSO393222:KSP393252 LCK393222:LCL393252 LMG393222:LMH393252 LWC393222:LWD393252 MFY393222:MFZ393252 MPU393222:MPV393252 MZQ393222:MZR393252 NJM393222:NJN393252 NTI393222:NTJ393252 ODE393222:ODF393252 ONA393222:ONB393252 OWW393222:OWX393252 PGS393222:PGT393252 PQO393222:PQP393252 QAK393222:QAL393252 QKG393222:QKH393252 QUC393222:QUD393252 RDY393222:RDZ393252 RNU393222:RNV393252 RXQ393222:RXR393252 SHM393222:SHN393252 SRI393222:SRJ393252 TBE393222:TBF393252 TLA393222:TLB393252 TUW393222:TUX393252 UES393222:UET393252 UOO393222:UOP393252 UYK393222:UYL393252 VIG393222:VIH393252 VSC393222:VSD393252 WBY393222:WBZ393252 WLU393222:WLV393252 WVQ393222:WVR393252 I458758:J458788 JE458758:JF458788 TA458758:TB458788 ACW458758:ACX458788 AMS458758:AMT458788 AWO458758:AWP458788 BGK458758:BGL458788 BQG458758:BQH458788 CAC458758:CAD458788 CJY458758:CJZ458788 CTU458758:CTV458788 DDQ458758:DDR458788 DNM458758:DNN458788 DXI458758:DXJ458788 EHE458758:EHF458788 ERA458758:ERB458788 FAW458758:FAX458788 FKS458758:FKT458788 FUO458758:FUP458788 GEK458758:GEL458788 GOG458758:GOH458788 GYC458758:GYD458788 HHY458758:HHZ458788 HRU458758:HRV458788 IBQ458758:IBR458788 ILM458758:ILN458788 IVI458758:IVJ458788 JFE458758:JFF458788 JPA458758:JPB458788 JYW458758:JYX458788 KIS458758:KIT458788 KSO458758:KSP458788 LCK458758:LCL458788 LMG458758:LMH458788 LWC458758:LWD458788 MFY458758:MFZ458788 MPU458758:MPV458788 MZQ458758:MZR458788 NJM458758:NJN458788 NTI458758:NTJ458788 ODE458758:ODF458788 ONA458758:ONB458788 OWW458758:OWX458788 PGS458758:PGT458788 PQO458758:PQP458788 QAK458758:QAL458788 QKG458758:QKH458788 QUC458758:QUD458788 RDY458758:RDZ458788 RNU458758:RNV458788 RXQ458758:RXR458788 SHM458758:SHN458788 SRI458758:SRJ458788 TBE458758:TBF458788 TLA458758:TLB458788 TUW458758:TUX458788 UES458758:UET458788 UOO458758:UOP458788 UYK458758:UYL458788 VIG458758:VIH458788 VSC458758:VSD458788 WBY458758:WBZ458788 WLU458758:WLV458788 WVQ458758:WVR458788 I524294:J524324 JE524294:JF524324 TA524294:TB524324 ACW524294:ACX524324 AMS524294:AMT524324 AWO524294:AWP524324 BGK524294:BGL524324 BQG524294:BQH524324 CAC524294:CAD524324 CJY524294:CJZ524324 CTU524294:CTV524324 DDQ524294:DDR524324 DNM524294:DNN524324 DXI524294:DXJ524324 EHE524294:EHF524324 ERA524294:ERB524324 FAW524294:FAX524324 FKS524294:FKT524324 FUO524294:FUP524324 GEK524294:GEL524324 GOG524294:GOH524324 GYC524294:GYD524324 HHY524294:HHZ524324 HRU524294:HRV524324 IBQ524294:IBR524324 ILM524294:ILN524324 IVI524294:IVJ524324 JFE524294:JFF524324 JPA524294:JPB524324 JYW524294:JYX524324 KIS524294:KIT524324 KSO524294:KSP524324 LCK524294:LCL524324 LMG524294:LMH524324 LWC524294:LWD524324 MFY524294:MFZ524324 MPU524294:MPV524324 MZQ524294:MZR524324 NJM524294:NJN524324 NTI524294:NTJ524324 ODE524294:ODF524324 ONA524294:ONB524324 OWW524294:OWX524324 PGS524294:PGT524324 PQO524294:PQP524324 QAK524294:QAL524324 QKG524294:QKH524324 QUC524294:QUD524324 RDY524294:RDZ524324 RNU524294:RNV524324 RXQ524294:RXR524324 SHM524294:SHN524324 SRI524294:SRJ524324 TBE524294:TBF524324 TLA524294:TLB524324 TUW524294:TUX524324 UES524294:UET524324 UOO524294:UOP524324 UYK524294:UYL524324 VIG524294:VIH524324 VSC524294:VSD524324 WBY524294:WBZ524324 WLU524294:WLV524324 WVQ524294:WVR524324 I589830:J589860 JE589830:JF589860 TA589830:TB589860 ACW589830:ACX589860 AMS589830:AMT589860 AWO589830:AWP589860 BGK589830:BGL589860 BQG589830:BQH589860 CAC589830:CAD589860 CJY589830:CJZ589860 CTU589830:CTV589860 DDQ589830:DDR589860 DNM589830:DNN589860 DXI589830:DXJ589860 EHE589830:EHF589860 ERA589830:ERB589860 FAW589830:FAX589860 FKS589830:FKT589860 FUO589830:FUP589860 GEK589830:GEL589860 GOG589830:GOH589860 GYC589830:GYD589860 HHY589830:HHZ589860 HRU589830:HRV589860 IBQ589830:IBR589860 ILM589830:ILN589860 IVI589830:IVJ589860 JFE589830:JFF589860 JPA589830:JPB589860 JYW589830:JYX589860 KIS589830:KIT589860 KSO589830:KSP589860 LCK589830:LCL589860 LMG589830:LMH589860 LWC589830:LWD589860 MFY589830:MFZ589860 MPU589830:MPV589860 MZQ589830:MZR589860 NJM589830:NJN589860 NTI589830:NTJ589860 ODE589830:ODF589860 ONA589830:ONB589860 OWW589830:OWX589860 PGS589830:PGT589860 PQO589830:PQP589860 QAK589830:QAL589860 QKG589830:QKH589860 QUC589830:QUD589860 RDY589830:RDZ589860 RNU589830:RNV589860 RXQ589830:RXR589860 SHM589830:SHN589860 SRI589830:SRJ589860 TBE589830:TBF589860 TLA589830:TLB589860 TUW589830:TUX589860 UES589830:UET589860 UOO589830:UOP589860 UYK589830:UYL589860 VIG589830:VIH589860 VSC589830:VSD589860 WBY589830:WBZ589860 WLU589830:WLV589860 WVQ589830:WVR589860 I655366:J655396 JE655366:JF655396 TA655366:TB655396 ACW655366:ACX655396 AMS655366:AMT655396 AWO655366:AWP655396 BGK655366:BGL655396 BQG655366:BQH655396 CAC655366:CAD655396 CJY655366:CJZ655396 CTU655366:CTV655396 DDQ655366:DDR655396 DNM655366:DNN655396 DXI655366:DXJ655396 EHE655366:EHF655396 ERA655366:ERB655396 FAW655366:FAX655396 FKS655366:FKT655396 FUO655366:FUP655396 GEK655366:GEL655396 GOG655366:GOH655396 GYC655366:GYD655396 HHY655366:HHZ655396 HRU655366:HRV655396 IBQ655366:IBR655396 ILM655366:ILN655396 IVI655366:IVJ655396 JFE655366:JFF655396 JPA655366:JPB655396 JYW655366:JYX655396 KIS655366:KIT655396 KSO655366:KSP655396 LCK655366:LCL655396 LMG655366:LMH655396 LWC655366:LWD655396 MFY655366:MFZ655396 MPU655366:MPV655396 MZQ655366:MZR655396 NJM655366:NJN655396 NTI655366:NTJ655396 ODE655366:ODF655396 ONA655366:ONB655396 OWW655366:OWX655396 PGS655366:PGT655396 PQO655366:PQP655396 QAK655366:QAL655396 QKG655366:QKH655396 QUC655366:QUD655396 RDY655366:RDZ655396 RNU655366:RNV655396 RXQ655366:RXR655396 SHM655366:SHN655396 SRI655366:SRJ655396 TBE655366:TBF655396 TLA655366:TLB655396 TUW655366:TUX655396 UES655366:UET655396 UOO655366:UOP655396 UYK655366:UYL655396 VIG655366:VIH655396 VSC655366:VSD655396 WBY655366:WBZ655396 WLU655366:WLV655396 WVQ655366:WVR655396 I720902:J720932 JE720902:JF720932 TA720902:TB720932 ACW720902:ACX720932 AMS720902:AMT720932 AWO720902:AWP720932 BGK720902:BGL720932 BQG720902:BQH720932 CAC720902:CAD720932 CJY720902:CJZ720932 CTU720902:CTV720932 DDQ720902:DDR720932 DNM720902:DNN720932 DXI720902:DXJ720932 EHE720902:EHF720932 ERA720902:ERB720932 FAW720902:FAX720932 FKS720902:FKT720932 FUO720902:FUP720932 GEK720902:GEL720932 GOG720902:GOH720932 GYC720902:GYD720932 HHY720902:HHZ720932 HRU720902:HRV720932 IBQ720902:IBR720932 ILM720902:ILN720932 IVI720902:IVJ720932 JFE720902:JFF720932 JPA720902:JPB720932 JYW720902:JYX720932 KIS720902:KIT720932 KSO720902:KSP720932 LCK720902:LCL720932 LMG720902:LMH720932 LWC720902:LWD720932 MFY720902:MFZ720932 MPU720902:MPV720932 MZQ720902:MZR720932 NJM720902:NJN720932 NTI720902:NTJ720932 ODE720902:ODF720932 ONA720902:ONB720932 OWW720902:OWX720932 PGS720902:PGT720932 PQO720902:PQP720932 QAK720902:QAL720932 QKG720902:QKH720932 QUC720902:QUD720932 RDY720902:RDZ720932 RNU720902:RNV720932 RXQ720902:RXR720932 SHM720902:SHN720932 SRI720902:SRJ720932 TBE720902:TBF720932 TLA720902:TLB720932 TUW720902:TUX720932 UES720902:UET720932 UOO720902:UOP720932 UYK720902:UYL720932 VIG720902:VIH720932 VSC720902:VSD720932 WBY720902:WBZ720932 WLU720902:WLV720932 WVQ720902:WVR720932 I786438:J786468 JE786438:JF786468 TA786438:TB786468 ACW786438:ACX786468 AMS786438:AMT786468 AWO786438:AWP786468 BGK786438:BGL786468 BQG786438:BQH786468 CAC786438:CAD786468 CJY786438:CJZ786468 CTU786438:CTV786468 DDQ786438:DDR786468 DNM786438:DNN786468 DXI786438:DXJ786468 EHE786438:EHF786468 ERA786438:ERB786468 FAW786438:FAX786468 FKS786438:FKT786468 FUO786438:FUP786468 GEK786438:GEL786468 GOG786438:GOH786468 GYC786438:GYD786468 HHY786438:HHZ786468 HRU786438:HRV786468 IBQ786438:IBR786468 ILM786438:ILN786468 IVI786438:IVJ786468 JFE786438:JFF786468 JPA786438:JPB786468 JYW786438:JYX786468 KIS786438:KIT786468 KSO786438:KSP786468 LCK786438:LCL786468 LMG786438:LMH786468 LWC786438:LWD786468 MFY786438:MFZ786468 MPU786438:MPV786468 MZQ786438:MZR786468 NJM786438:NJN786468 NTI786438:NTJ786468 ODE786438:ODF786468 ONA786438:ONB786468 OWW786438:OWX786468 PGS786438:PGT786468 PQO786438:PQP786468 QAK786438:QAL786468 QKG786438:QKH786468 QUC786438:QUD786468 RDY786438:RDZ786468 RNU786438:RNV786468 RXQ786438:RXR786468 SHM786438:SHN786468 SRI786438:SRJ786468 TBE786438:TBF786468 TLA786438:TLB786468 TUW786438:TUX786468 UES786438:UET786468 UOO786438:UOP786468 UYK786438:UYL786468 VIG786438:VIH786468 VSC786438:VSD786468 WBY786438:WBZ786468 WLU786438:WLV786468 WVQ786438:WVR786468 I851974:J852004 JE851974:JF852004 TA851974:TB852004 ACW851974:ACX852004 AMS851974:AMT852004 AWO851974:AWP852004 BGK851974:BGL852004 BQG851974:BQH852004 CAC851974:CAD852004 CJY851974:CJZ852004 CTU851974:CTV852004 DDQ851974:DDR852004 DNM851974:DNN852004 DXI851974:DXJ852004 EHE851974:EHF852004 ERA851974:ERB852004 FAW851974:FAX852004 FKS851974:FKT852004 FUO851974:FUP852004 GEK851974:GEL852004 GOG851974:GOH852004 GYC851974:GYD852004 HHY851974:HHZ852004 HRU851974:HRV852004 IBQ851974:IBR852004 ILM851974:ILN852004 IVI851974:IVJ852004 JFE851974:JFF852004 JPA851974:JPB852004 JYW851974:JYX852004 KIS851974:KIT852004 KSO851974:KSP852004 LCK851974:LCL852004 LMG851974:LMH852004 LWC851974:LWD852004 MFY851974:MFZ852004 MPU851974:MPV852004 MZQ851974:MZR852004 NJM851974:NJN852004 NTI851974:NTJ852004 ODE851974:ODF852004 ONA851974:ONB852004 OWW851974:OWX852004 PGS851974:PGT852004 PQO851974:PQP852004 QAK851974:QAL852004 QKG851974:QKH852004 QUC851974:QUD852004 RDY851974:RDZ852004 RNU851974:RNV852004 RXQ851974:RXR852004 SHM851974:SHN852004 SRI851974:SRJ852004 TBE851974:TBF852004 TLA851974:TLB852004 TUW851974:TUX852004 UES851974:UET852004 UOO851974:UOP852004 UYK851974:UYL852004 VIG851974:VIH852004 VSC851974:VSD852004 WBY851974:WBZ852004 WLU851974:WLV852004 WVQ851974:WVR852004 I917510:J917540 JE917510:JF917540 TA917510:TB917540 ACW917510:ACX917540 AMS917510:AMT917540 AWO917510:AWP917540 BGK917510:BGL917540 BQG917510:BQH917540 CAC917510:CAD917540 CJY917510:CJZ917540 CTU917510:CTV917540 DDQ917510:DDR917540 DNM917510:DNN917540 DXI917510:DXJ917540 EHE917510:EHF917540 ERA917510:ERB917540 FAW917510:FAX917540 FKS917510:FKT917540 FUO917510:FUP917540 GEK917510:GEL917540 GOG917510:GOH917540 GYC917510:GYD917540 HHY917510:HHZ917540 HRU917510:HRV917540 IBQ917510:IBR917540 ILM917510:ILN917540 IVI917510:IVJ917540 JFE917510:JFF917540 JPA917510:JPB917540 JYW917510:JYX917540 KIS917510:KIT917540 KSO917510:KSP917540 LCK917510:LCL917540 LMG917510:LMH917540 LWC917510:LWD917540 MFY917510:MFZ917540 MPU917510:MPV917540 MZQ917510:MZR917540 NJM917510:NJN917540 NTI917510:NTJ917540 ODE917510:ODF917540 ONA917510:ONB917540 OWW917510:OWX917540 PGS917510:PGT917540 PQO917510:PQP917540 QAK917510:QAL917540 QKG917510:QKH917540 QUC917510:QUD917540 RDY917510:RDZ917540 RNU917510:RNV917540 RXQ917510:RXR917540 SHM917510:SHN917540 SRI917510:SRJ917540 TBE917510:TBF917540 TLA917510:TLB917540 TUW917510:TUX917540 UES917510:UET917540 UOO917510:UOP917540 UYK917510:UYL917540 VIG917510:VIH917540 VSC917510:VSD917540 WBY917510:WBZ917540 WLU917510:WLV917540 WVQ917510:WVR917540 I983046:J983076 JE983046:JF983076 TA983046:TB983076 ACW983046:ACX983076 AMS983046:AMT983076 AWO983046:AWP983076 BGK983046:BGL983076 BQG983046:BQH983076 CAC983046:CAD983076 CJY983046:CJZ983076 CTU983046:CTV983076 DDQ983046:DDR983076 DNM983046:DNN983076 DXI983046:DXJ983076 EHE983046:EHF983076 ERA983046:ERB983076 FAW983046:FAX983076 FKS983046:FKT983076 FUO983046:FUP983076 GEK983046:GEL983076 GOG983046:GOH983076 GYC983046:GYD983076 HHY983046:HHZ983076 HRU983046:HRV983076 IBQ983046:IBR983076 ILM983046:ILN983076 IVI983046:IVJ983076 JFE983046:JFF983076 JPA983046:JPB983076 JYW983046:JYX983076 KIS983046:KIT983076 KSO983046:KSP983076 LCK983046:LCL983076 LMG983046:LMH983076 LWC983046:LWD983076 MFY983046:MFZ983076 MPU983046:MPV983076 MZQ983046:MZR983076 NJM983046:NJN983076 NTI983046:NTJ983076 ODE983046:ODF983076 ONA983046:ONB983076 OWW983046:OWX983076 PGS983046:PGT983076 PQO983046:PQP983076 QAK983046:QAL983076 QKG983046:QKH983076 QUC983046:QUD983076 RDY983046:RDZ983076 RNU983046:RNV983076 RXQ983046:RXR983076 SHM983046:SHN983076 SRI983046:SRJ983076 TBE983046:TBF983076 TLA983046:TLB983076 TUW983046:TUX983076 UES983046:UET983076 UOO983046:UOP983076 UYK983046:UYL983076 VIG983046:VIH983076 VSC983046:VSD983076 WBY983046:WBZ983076 WLU983046:WLV983076 WVQ983046:WVR983076 WLU983078:WLV983084 JE40:JF44 TA40:TB44 ACW40:ACX44 AMS40:AMT44 AWO40:AWP44 BGK40:BGL44 BQG40:BQH44 CAC40:CAD44 CJY40:CJZ44 CTU40:CTV44 DDQ40:DDR44 DNM40:DNN44 DXI40:DXJ44 EHE40:EHF44 ERA40:ERB44 FAW40:FAX44 FKS40:FKT44 FUO40:FUP44 GEK40:GEL44 GOG40:GOH44 GYC40:GYD44 HHY40:HHZ44 HRU40:HRV44 IBQ40:IBR44 ILM40:ILN44 IVI40:IVJ44 JFE40:JFF44 JPA40:JPB44 JYW40:JYX44 KIS40:KIT44 KSO40:KSP44 LCK40:LCL44 LMG40:LMH44 LWC40:LWD44 MFY40:MFZ44 MPU40:MPV44 MZQ40:MZR44 NJM40:NJN44 NTI40:NTJ44 ODE40:ODF44 ONA40:ONB44 OWW40:OWX44 PGS40:PGT44 PQO40:PQP44 QAK40:QAL44 QKG40:QKH44 QUC40:QUD44 RDY40:RDZ44 RNU40:RNV44 RXQ40:RXR44 SHM40:SHN44 SRI40:SRJ44 TBE40:TBF44 TLA40:TLB44 TUW40:TUX44 UES40:UET44 UOO40:UOP44 UYK40:UYL44 VIG40:VIH44 VSC40:VSD44 WBY40:WBZ44 WLU40:WLV44 WVQ40:WVR44 I65574:J65580 JE65574:JF65580 TA65574:TB65580 ACW65574:ACX65580 AMS65574:AMT65580 AWO65574:AWP65580 BGK65574:BGL65580 BQG65574:BQH65580 CAC65574:CAD65580 CJY65574:CJZ65580 CTU65574:CTV65580 DDQ65574:DDR65580 DNM65574:DNN65580 DXI65574:DXJ65580 EHE65574:EHF65580 ERA65574:ERB65580 FAW65574:FAX65580 FKS65574:FKT65580 FUO65574:FUP65580 GEK65574:GEL65580 GOG65574:GOH65580 GYC65574:GYD65580 HHY65574:HHZ65580 HRU65574:HRV65580 IBQ65574:IBR65580 ILM65574:ILN65580 IVI65574:IVJ65580 JFE65574:JFF65580 JPA65574:JPB65580 JYW65574:JYX65580 KIS65574:KIT65580 KSO65574:KSP65580 LCK65574:LCL65580 LMG65574:LMH65580 LWC65574:LWD65580 MFY65574:MFZ65580 MPU65574:MPV65580 MZQ65574:MZR65580 NJM65574:NJN65580 NTI65574:NTJ65580 ODE65574:ODF65580 ONA65574:ONB65580 OWW65574:OWX65580 PGS65574:PGT65580 PQO65574:PQP65580 QAK65574:QAL65580 QKG65574:QKH65580 QUC65574:QUD65580 RDY65574:RDZ65580 RNU65574:RNV65580 RXQ65574:RXR65580 SHM65574:SHN65580 SRI65574:SRJ65580 TBE65574:TBF65580 TLA65574:TLB65580 TUW65574:TUX65580 UES65574:UET65580 UOO65574:UOP65580 UYK65574:UYL65580 VIG65574:VIH65580 VSC65574:VSD65580 WBY65574:WBZ65580 WLU65574:WLV65580 WVQ65574:WVR65580 I131110:J131116 JE131110:JF131116 TA131110:TB131116 ACW131110:ACX131116 AMS131110:AMT131116 AWO131110:AWP131116 BGK131110:BGL131116 BQG131110:BQH131116 CAC131110:CAD131116 CJY131110:CJZ131116 CTU131110:CTV131116 DDQ131110:DDR131116 DNM131110:DNN131116 DXI131110:DXJ131116 EHE131110:EHF131116 ERA131110:ERB131116 FAW131110:FAX131116 FKS131110:FKT131116 FUO131110:FUP131116 GEK131110:GEL131116 GOG131110:GOH131116 GYC131110:GYD131116 HHY131110:HHZ131116 HRU131110:HRV131116 IBQ131110:IBR131116 ILM131110:ILN131116 IVI131110:IVJ131116 JFE131110:JFF131116 JPA131110:JPB131116 JYW131110:JYX131116 KIS131110:KIT131116 KSO131110:KSP131116 LCK131110:LCL131116 LMG131110:LMH131116 LWC131110:LWD131116 MFY131110:MFZ131116 MPU131110:MPV131116 MZQ131110:MZR131116 NJM131110:NJN131116 NTI131110:NTJ131116 ODE131110:ODF131116 ONA131110:ONB131116 OWW131110:OWX131116 PGS131110:PGT131116 PQO131110:PQP131116 QAK131110:QAL131116 QKG131110:QKH131116 QUC131110:QUD131116 RDY131110:RDZ131116 RNU131110:RNV131116 RXQ131110:RXR131116 SHM131110:SHN131116 SRI131110:SRJ131116 TBE131110:TBF131116 TLA131110:TLB131116 TUW131110:TUX131116 UES131110:UET131116 UOO131110:UOP131116 UYK131110:UYL131116 VIG131110:VIH131116 VSC131110:VSD131116 WBY131110:WBZ131116 WLU131110:WLV131116 WVQ131110:WVR131116 I196646:J196652 JE196646:JF196652 TA196646:TB196652 ACW196646:ACX196652 AMS196646:AMT196652 AWO196646:AWP196652 BGK196646:BGL196652 BQG196646:BQH196652 CAC196646:CAD196652 CJY196646:CJZ196652 CTU196646:CTV196652 DDQ196646:DDR196652 DNM196646:DNN196652 DXI196646:DXJ196652 EHE196646:EHF196652 ERA196646:ERB196652 FAW196646:FAX196652 FKS196646:FKT196652 FUO196646:FUP196652 GEK196646:GEL196652 GOG196646:GOH196652 GYC196646:GYD196652 HHY196646:HHZ196652 HRU196646:HRV196652 IBQ196646:IBR196652 ILM196646:ILN196652 IVI196646:IVJ196652 JFE196646:JFF196652 JPA196646:JPB196652 JYW196646:JYX196652 KIS196646:KIT196652 KSO196646:KSP196652 LCK196646:LCL196652 LMG196646:LMH196652 LWC196646:LWD196652 MFY196646:MFZ196652 MPU196646:MPV196652 MZQ196646:MZR196652 NJM196646:NJN196652 NTI196646:NTJ196652 ODE196646:ODF196652 ONA196646:ONB196652 OWW196646:OWX196652 PGS196646:PGT196652 PQO196646:PQP196652 QAK196646:QAL196652 QKG196646:QKH196652 QUC196646:QUD196652 RDY196646:RDZ196652 RNU196646:RNV196652 RXQ196646:RXR196652 SHM196646:SHN196652 SRI196646:SRJ196652 TBE196646:TBF196652 TLA196646:TLB196652 TUW196646:TUX196652 UES196646:UET196652 UOO196646:UOP196652 UYK196646:UYL196652 VIG196646:VIH196652 VSC196646:VSD196652 WBY196646:WBZ196652 WLU196646:WLV196652 WVQ196646:WVR196652 I262182:J262188 JE262182:JF262188 TA262182:TB262188 ACW262182:ACX262188 AMS262182:AMT262188 AWO262182:AWP262188 BGK262182:BGL262188 BQG262182:BQH262188 CAC262182:CAD262188 CJY262182:CJZ262188 CTU262182:CTV262188 DDQ262182:DDR262188 DNM262182:DNN262188 DXI262182:DXJ262188 EHE262182:EHF262188 ERA262182:ERB262188 FAW262182:FAX262188 FKS262182:FKT262188 FUO262182:FUP262188 GEK262182:GEL262188 GOG262182:GOH262188 GYC262182:GYD262188 HHY262182:HHZ262188 HRU262182:HRV262188 IBQ262182:IBR262188 ILM262182:ILN262188 IVI262182:IVJ262188 JFE262182:JFF262188 JPA262182:JPB262188 JYW262182:JYX262188 KIS262182:KIT262188 KSO262182:KSP262188 LCK262182:LCL262188 LMG262182:LMH262188 LWC262182:LWD262188 MFY262182:MFZ262188 MPU262182:MPV262188 MZQ262182:MZR262188 NJM262182:NJN262188 NTI262182:NTJ262188 ODE262182:ODF262188 ONA262182:ONB262188 OWW262182:OWX262188 PGS262182:PGT262188 PQO262182:PQP262188 QAK262182:QAL262188 QKG262182:QKH262188 QUC262182:QUD262188 RDY262182:RDZ262188 RNU262182:RNV262188 RXQ262182:RXR262188 SHM262182:SHN262188 SRI262182:SRJ262188 TBE262182:TBF262188 TLA262182:TLB262188 TUW262182:TUX262188 UES262182:UET262188 UOO262182:UOP262188 UYK262182:UYL262188 VIG262182:VIH262188 VSC262182:VSD262188 WBY262182:WBZ262188 WLU262182:WLV262188 WVQ262182:WVR262188 I327718:J327724 JE327718:JF327724 TA327718:TB327724 ACW327718:ACX327724 AMS327718:AMT327724 AWO327718:AWP327724 BGK327718:BGL327724 BQG327718:BQH327724 CAC327718:CAD327724 CJY327718:CJZ327724 CTU327718:CTV327724 DDQ327718:DDR327724 DNM327718:DNN327724 DXI327718:DXJ327724 EHE327718:EHF327724 ERA327718:ERB327724 FAW327718:FAX327724 FKS327718:FKT327724 FUO327718:FUP327724 GEK327718:GEL327724 GOG327718:GOH327724 GYC327718:GYD327724 HHY327718:HHZ327724 HRU327718:HRV327724 IBQ327718:IBR327724 ILM327718:ILN327724 IVI327718:IVJ327724 JFE327718:JFF327724 JPA327718:JPB327724 JYW327718:JYX327724 KIS327718:KIT327724 KSO327718:KSP327724 LCK327718:LCL327724 LMG327718:LMH327724 LWC327718:LWD327724 MFY327718:MFZ327724 MPU327718:MPV327724 MZQ327718:MZR327724 NJM327718:NJN327724 NTI327718:NTJ327724 ODE327718:ODF327724 ONA327718:ONB327724 OWW327718:OWX327724 PGS327718:PGT327724 PQO327718:PQP327724 QAK327718:QAL327724 QKG327718:QKH327724 QUC327718:QUD327724 RDY327718:RDZ327724 RNU327718:RNV327724 RXQ327718:RXR327724 SHM327718:SHN327724 SRI327718:SRJ327724 TBE327718:TBF327724 TLA327718:TLB327724 TUW327718:TUX327724 UES327718:UET327724 UOO327718:UOP327724 UYK327718:UYL327724 VIG327718:VIH327724 VSC327718:VSD327724 WBY327718:WBZ327724 WLU327718:WLV327724 WVQ327718:WVR327724 I393254:J393260 JE393254:JF393260 TA393254:TB393260 ACW393254:ACX393260 AMS393254:AMT393260 AWO393254:AWP393260 BGK393254:BGL393260 BQG393254:BQH393260 CAC393254:CAD393260 CJY393254:CJZ393260 CTU393254:CTV393260 DDQ393254:DDR393260 DNM393254:DNN393260 DXI393254:DXJ393260 EHE393254:EHF393260 ERA393254:ERB393260 FAW393254:FAX393260 FKS393254:FKT393260 FUO393254:FUP393260 GEK393254:GEL393260 GOG393254:GOH393260 GYC393254:GYD393260 HHY393254:HHZ393260 HRU393254:HRV393260 IBQ393254:IBR393260 ILM393254:ILN393260 IVI393254:IVJ393260 JFE393254:JFF393260 JPA393254:JPB393260 JYW393254:JYX393260 KIS393254:KIT393260 KSO393254:KSP393260 LCK393254:LCL393260 LMG393254:LMH393260 LWC393254:LWD393260 MFY393254:MFZ393260 MPU393254:MPV393260 MZQ393254:MZR393260 NJM393254:NJN393260 NTI393254:NTJ393260 ODE393254:ODF393260 ONA393254:ONB393260 OWW393254:OWX393260 PGS393254:PGT393260 PQO393254:PQP393260 QAK393254:QAL393260 QKG393254:QKH393260 QUC393254:QUD393260 RDY393254:RDZ393260 RNU393254:RNV393260 RXQ393254:RXR393260 SHM393254:SHN393260 SRI393254:SRJ393260 TBE393254:TBF393260 TLA393254:TLB393260 TUW393254:TUX393260 UES393254:UET393260 UOO393254:UOP393260 UYK393254:UYL393260 VIG393254:VIH393260 VSC393254:VSD393260 WBY393254:WBZ393260 WLU393254:WLV393260 WVQ393254:WVR393260 I458790:J458796 JE458790:JF458796 TA458790:TB458796 ACW458790:ACX458796 AMS458790:AMT458796 AWO458790:AWP458796 BGK458790:BGL458796 BQG458790:BQH458796 CAC458790:CAD458796 CJY458790:CJZ458796 CTU458790:CTV458796 DDQ458790:DDR458796 DNM458790:DNN458796 DXI458790:DXJ458796 EHE458790:EHF458796 ERA458790:ERB458796 FAW458790:FAX458796 FKS458790:FKT458796 FUO458790:FUP458796 GEK458790:GEL458796 GOG458790:GOH458796 GYC458790:GYD458796 HHY458790:HHZ458796 HRU458790:HRV458796 IBQ458790:IBR458796 ILM458790:ILN458796 IVI458790:IVJ458796 JFE458790:JFF458796 JPA458790:JPB458796 JYW458790:JYX458796 KIS458790:KIT458796 KSO458790:KSP458796 LCK458790:LCL458796 LMG458790:LMH458796 LWC458790:LWD458796 MFY458790:MFZ458796 MPU458790:MPV458796 MZQ458790:MZR458796 NJM458790:NJN458796 NTI458790:NTJ458796 ODE458790:ODF458796 ONA458790:ONB458796 OWW458790:OWX458796 PGS458790:PGT458796 PQO458790:PQP458796 QAK458790:QAL458796 QKG458790:QKH458796 QUC458790:QUD458796 RDY458790:RDZ458796 RNU458790:RNV458796 RXQ458790:RXR458796 SHM458790:SHN458796 SRI458790:SRJ458796 TBE458790:TBF458796 TLA458790:TLB458796 TUW458790:TUX458796 UES458790:UET458796 UOO458790:UOP458796 UYK458790:UYL458796 VIG458790:VIH458796 VSC458790:VSD458796 WBY458790:WBZ458796 WLU458790:WLV458796 WVQ458790:WVR458796 I524326:J524332 JE524326:JF524332 TA524326:TB524332 ACW524326:ACX524332 AMS524326:AMT524332 AWO524326:AWP524332 BGK524326:BGL524332 BQG524326:BQH524332 CAC524326:CAD524332 CJY524326:CJZ524332 CTU524326:CTV524332 DDQ524326:DDR524332 DNM524326:DNN524332 DXI524326:DXJ524332 EHE524326:EHF524332 ERA524326:ERB524332 FAW524326:FAX524332 FKS524326:FKT524332 FUO524326:FUP524332 GEK524326:GEL524332 GOG524326:GOH524332 GYC524326:GYD524332 HHY524326:HHZ524332 HRU524326:HRV524332 IBQ524326:IBR524332 ILM524326:ILN524332 IVI524326:IVJ524332 JFE524326:JFF524332 JPA524326:JPB524332 JYW524326:JYX524332 KIS524326:KIT524332 KSO524326:KSP524332 LCK524326:LCL524332 LMG524326:LMH524332 LWC524326:LWD524332 MFY524326:MFZ524332 MPU524326:MPV524332 MZQ524326:MZR524332 NJM524326:NJN524332 NTI524326:NTJ524332 ODE524326:ODF524332 ONA524326:ONB524332 OWW524326:OWX524332 PGS524326:PGT524332 PQO524326:PQP524332 QAK524326:QAL524332 QKG524326:QKH524332 QUC524326:QUD524332 RDY524326:RDZ524332 RNU524326:RNV524332 RXQ524326:RXR524332 SHM524326:SHN524332 SRI524326:SRJ524332 TBE524326:TBF524332 TLA524326:TLB524332 TUW524326:TUX524332 UES524326:UET524332 UOO524326:UOP524332 UYK524326:UYL524332 VIG524326:VIH524332 VSC524326:VSD524332 WBY524326:WBZ524332 WLU524326:WLV524332 WVQ524326:WVR524332 I589862:J589868 JE589862:JF589868 TA589862:TB589868 ACW589862:ACX589868 AMS589862:AMT589868 AWO589862:AWP589868 BGK589862:BGL589868 BQG589862:BQH589868 CAC589862:CAD589868 CJY589862:CJZ589868 CTU589862:CTV589868 DDQ589862:DDR589868 DNM589862:DNN589868 DXI589862:DXJ589868 EHE589862:EHF589868 ERA589862:ERB589868 FAW589862:FAX589868 FKS589862:FKT589868 FUO589862:FUP589868 GEK589862:GEL589868 GOG589862:GOH589868 GYC589862:GYD589868 HHY589862:HHZ589868 HRU589862:HRV589868 IBQ589862:IBR589868 ILM589862:ILN589868 IVI589862:IVJ589868 JFE589862:JFF589868 JPA589862:JPB589868 JYW589862:JYX589868 KIS589862:KIT589868 KSO589862:KSP589868 LCK589862:LCL589868 LMG589862:LMH589868 LWC589862:LWD589868 MFY589862:MFZ589868 MPU589862:MPV589868 MZQ589862:MZR589868 NJM589862:NJN589868 NTI589862:NTJ589868 ODE589862:ODF589868 ONA589862:ONB589868 OWW589862:OWX589868 PGS589862:PGT589868 PQO589862:PQP589868 QAK589862:QAL589868 QKG589862:QKH589868 QUC589862:QUD589868 RDY589862:RDZ589868 RNU589862:RNV589868 RXQ589862:RXR589868 SHM589862:SHN589868 SRI589862:SRJ589868 TBE589862:TBF589868 TLA589862:TLB589868 TUW589862:TUX589868 UES589862:UET589868 UOO589862:UOP589868 UYK589862:UYL589868 VIG589862:VIH589868 VSC589862:VSD589868 WBY589862:WBZ589868 WLU589862:WLV589868 WVQ589862:WVR589868 I655398:J655404 JE655398:JF655404 TA655398:TB655404 ACW655398:ACX655404 AMS655398:AMT655404 AWO655398:AWP655404 BGK655398:BGL655404 BQG655398:BQH655404 CAC655398:CAD655404 CJY655398:CJZ655404 CTU655398:CTV655404 DDQ655398:DDR655404 DNM655398:DNN655404 DXI655398:DXJ655404 EHE655398:EHF655404 ERA655398:ERB655404 FAW655398:FAX655404 FKS655398:FKT655404 FUO655398:FUP655404 GEK655398:GEL655404 GOG655398:GOH655404 GYC655398:GYD655404 HHY655398:HHZ655404 HRU655398:HRV655404 IBQ655398:IBR655404 ILM655398:ILN655404 IVI655398:IVJ655404 JFE655398:JFF655404 JPA655398:JPB655404 JYW655398:JYX655404 KIS655398:KIT655404 KSO655398:KSP655404 LCK655398:LCL655404 LMG655398:LMH655404 LWC655398:LWD655404 MFY655398:MFZ655404 MPU655398:MPV655404 MZQ655398:MZR655404 NJM655398:NJN655404 NTI655398:NTJ655404 ODE655398:ODF655404 ONA655398:ONB655404 OWW655398:OWX655404 PGS655398:PGT655404 PQO655398:PQP655404 QAK655398:QAL655404 QKG655398:QKH655404 QUC655398:QUD655404 RDY655398:RDZ655404 RNU655398:RNV655404 RXQ655398:RXR655404 SHM655398:SHN655404 SRI655398:SRJ655404 TBE655398:TBF655404 TLA655398:TLB655404 TUW655398:TUX655404 UES655398:UET655404 UOO655398:UOP655404 UYK655398:UYL655404 VIG655398:VIH655404 VSC655398:VSD655404 WBY655398:WBZ655404 WLU655398:WLV655404 WVQ655398:WVR655404 I720934:J720940 JE720934:JF720940 TA720934:TB720940 ACW720934:ACX720940 AMS720934:AMT720940 AWO720934:AWP720940 BGK720934:BGL720940 BQG720934:BQH720940 CAC720934:CAD720940 CJY720934:CJZ720940 CTU720934:CTV720940 DDQ720934:DDR720940 DNM720934:DNN720940 DXI720934:DXJ720940 EHE720934:EHF720940 ERA720934:ERB720940 FAW720934:FAX720940 FKS720934:FKT720940 FUO720934:FUP720940 GEK720934:GEL720940 GOG720934:GOH720940 GYC720934:GYD720940 HHY720934:HHZ720940 HRU720934:HRV720940 IBQ720934:IBR720940 ILM720934:ILN720940 IVI720934:IVJ720940 JFE720934:JFF720940 JPA720934:JPB720940 JYW720934:JYX720940 KIS720934:KIT720940 KSO720934:KSP720940 LCK720934:LCL720940 LMG720934:LMH720940 LWC720934:LWD720940 MFY720934:MFZ720940 MPU720934:MPV720940 MZQ720934:MZR720940 NJM720934:NJN720940 NTI720934:NTJ720940 ODE720934:ODF720940 ONA720934:ONB720940 OWW720934:OWX720940 PGS720934:PGT720940 PQO720934:PQP720940 QAK720934:QAL720940 QKG720934:QKH720940 QUC720934:QUD720940 RDY720934:RDZ720940 RNU720934:RNV720940 RXQ720934:RXR720940 SHM720934:SHN720940 SRI720934:SRJ720940 TBE720934:TBF720940 TLA720934:TLB720940 TUW720934:TUX720940 UES720934:UET720940 UOO720934:UOP720940 UYK720934:UYL720940 VIG720934:VIH720940 VSC720934:VSD720940 WBY720934:WBZ720940 WLU720934:WLV720940 WVQ720934:WVR720940 I786470:J786476 JE786470:JF786476 TA786470:TB786476 ACW786470:ACX786476 AMS786470:AMT786476 AWO786470:AWP786476 BGK786470:BGL786476 BQG786470:BQH786476 CAC786470:CAD786476 CJY786470:CJZ786476 CTU786470:CTV786476 DDQ786470:DDR786476 DNM786470:DNN786476 DXI786470:DXJ786476 EHE786470:EHF786476 ERA786470:ERB786476 FAW786470:FAX786476 FKS786470:FKT786476 FUO786470:FUP786476 GEK786470:GEL786476 GOG786470:GOH786476 GYC786470:GYD786476 HHY786470:HHZ786476 HRU786470:HRV786476 IBQ786470:IBR786476 ILM786470:ILN786476 IVI786470:IVJ786476 JFE786470:JFF786476 JPA786470:JPB786476 JYW786470:JYX786476 KIS786470:KIT786476 KSO786470:KSP786476 LCK786470:LCL786476 LMG786470:LMH786476 LWC786470:LWD786476 MFY786470:MFZ786476 MPU786470:MPV786476 MZQ786470:MZR786476 NJM786470:NJN786476 NTI786470:NTJ786476 ODE786470:ODF786476 ONA786470:ONB786476 OWW786470:OWX786476 PGS786470:PGT786476 PQO786470:PQP786476 QAK786470:QAL786476 QKG786470:QKH786476 QUC786470:QUD786476 RDY786470:RDZ786476 RNU786470:RNV786476 RXQ786470:RXR786476 SHM786470:SHN786476 SRI786470:SRJ786476 TBE786470:TBF786476 TLA786470:TLB786476 TUW786470:TUX786476 UES786470:UET786476 UOO786470:UOP786476 UYK786470:UYL786476 VIG786470:VIH786476 VSC786470:VSD786476 WBY786470:WBZ786476 WLU786470:WLV786476 WVQ786470:WVR786476 I852006:J852012 JE852006:JF852012 TA852006:TB852012 ACW852006:ACX852012 AMS852006:AMT852012 AWO852006:AWP852012 BGK852006:BGL852012 BQG852006:BQH852012 CAC852006:CAD852012 CJY852006:CJZ852012 CTU852006:CTV852012 DDQ852006:DDR852012 DNM852006:DNN852012 DXI852006:DXJ852012 EHE852006:EHF852012 ERA852006:ERB852012 FAW852006:FAX852012 FKS852006:FKT852012 FUO852006:FUP852012 GEK852006:GEL852012 GOG852006:GOH852012 GYC852006:GYD852012 HHY852006:HHZ852012 HRU852006:HRV852012 IBQ852006:IBR852012 ILM852006:ILN852012 IVI852006:IVJ852012 JFE852006:JFF852012 JPA852006:JPB852012 JYW852006:JYX852012 KIS852006:KIT852012 KSO852006:KSP852012 LCK852006:LCL852012 LMG852006:LMH852012 LWC852006:LWD852012 MFY852006:MFZ852012 MPU852006:MPV852012 MZQ852006:MZR852012 NJM852006:NJN852012 NTI852006:NTJ852012 ODE852006:ODF852012 ONA852006:ONB852012 OWW852006:OWX852012 PGS852006:PGT852012 PQO852006:PQP852012 QAK852006:QAL852012 QKG852006:QKH852012 QUC852006:QUD852012 RDY852006:RDZ852012 RNU852006:RNV852012 RXQ852006:RXR852012 SHM852006:SHN852012 SRI852006:SRJ852012 TBE852006:TBF852012 TLA852006:TLB852012 TUW852006:TUX852012 UES852006:UET852012 UOO852006:UOP852012 UYK852006:UYL852012 VIG852006:VIH852012 VSC852006:VSD852012 WBY852006:WBZ852012 WLU852006:WLV852012 WVQ852006:WVR852012 I917542:J917548 JE917542:JF917548 TA917542:TB917548 ACW917542:ACX917548 AMS917542:AMT917548 AWO917542:AWP917548 BGK917542:BGL917548 BQG917542:BQH917548 CAC917542:CAD917548 CJY917542:CJZ917548 CTU917542:CTV917548 DDQ917542:DDR917548 DNM917542:DNN917548 DXI917542:DXJ917548 EHE917542:EHF917548 ERA917542:ERB917548 FAW917542:FAX917548 FKS917542:FKT917548 FUO917542:FUP917548 GEK917542:GEL917548 GOG917542:GOH917548 GYC917542:GYD917548 HHY917542:HHZ917548 HRU917542:HRV917548 IBQ917542:IBR917548 ILM917542:ILN917548 IVI917542:IVJ917548 JFE917542:JFF917548 JPA917542:JPB917548 JYW917542:JYX917548 KIS917542:KIT917548 KSO917542:KSP917548 LCK917542:LCL917548 LMG917542:LMH917548 LWC917542:LWD917548 MFY917542:MFZ917548 MPU917542:MPV917548 MZQ917542:MZR917548 NJM917542:NJN917548 NTI917542:NTJ917548 ODE917542:ODF917548 ONA917542:ONB917548 OWW917542:OWX917548 PGS917542:PGT917548 PQO917542:PQP917548 QAK917542:QAL917548 QKG917542:QKH917548 QUC917542:QUD917548 RDY917542:RDZ917548 RNU917542:RNV917548 RXQ917542:RXR917548 SHM917542:SHN917548 SRI917542:SRJ917548 TBE917542:TBF917548 TLA917542:TLB917548 TUW917542:TUX917548 UES917542:UET917548 UOO917542:UOP917548 UYK917542:UYL917548 VIG917542:VIH917548 VSC917542:VSD917548 WBY917542:WBZ917548 WLU917542:WLV917548 WVQ917542:WVR917548 I983078:J983084 JE983078:JF983084 TA983078:TB983084 ACW983078:ACX983084 AMS983078:AMT983084 AWO983078:AWP983084 BGK983078:BGL983084 BQG983078:BQH983084 CAC983078:CAD983084 CJY983078:CJZ983084 CTU983078:CTV983084 DDQ983078:DDR983084 DNM983078:DNN983084 DXI983078:DXJ983084 EHE983078:EHF983084 ERA983078:ERB983084 FAW983078:FAX983084 FKS983078:FKT983084 FUO983078:FUP983084 GEK983078:GEL983084 GOG983078:GOH983084 GYC983078:GYD983084 HHY983078:HHZ983084 HRU983078:HRV983084 IBQ983078:IBR983084 ILM983078:ILN983084 IVI983078:IVJ983084 JFE983078:JFF983084 JPA983078:JPB983084 JYW983078:JYX983084 KIS983078:KIT983084 KSO983078:KSP983084 LCK983078:LCL983084 LMG983078:LMH983084 LWC983078:LWD983084 MFY983078:MFZ983084 MPU983078:MPV983084 MZQ983078:MZR983084 NJM983078:NJN983084 NTI983078:NTJ983084 ODE983078:ODF983084 ONA983078:ONB983084 OWW983078:OWX983084 PGS983078:PGT983084 PQO983078:PQP983084 QAK983078:QAL983084 QKG983078:QKH983084 QUC983078:QUD983084 RDY983078:RDZ983084 RNU983078:RNV983084 RXQ983078:RXR983084 SHM983078:SHN983084 SRI983078:SRJ983084 TBE983078:TBF983084 TLA983078:TLB983084 TUW983078:TUX983084 UES983078:UET983084 UOO983078:UOP983084 UYK983078:UYL983084 VIG983078:VIH983084 VSC983078:VSD983084 WVQ5:WVR38 WLU5:WLV38 WBY5:WBZ38 VSC5:VSD38 VIG5:VIH38 UYK5:UYL38 UOO5:UOP38 UES5:UET38 TUW5:TUX38 TLA5:TLB38 TBE5:TBF38 SRI5:SRJ38 SHM5:SHN38 RXQ5:RXR38 RNU5:RNV38 RDY5:RDZ38 QUC5:QUD38 QKG5:QKH38 QAK5:QAL38 PQO5:PQP38 PGS5:PGT38 OWW5:OWX38 ONA5:ONB38 ODE5:ODF38 NTI5:NTJ38 NJM5:NJN38 MZQ5:MZR38 MPU5:MPV38 MFY5:MFZ38 LWC5:LWD38 LMG5:LMH38 LCK5:LCL38 KSO5:KSP38 KIS5:KIT38 JYW5:JYX38 JPA5:JPB38 JFE5:JFF38 IVI5:IVJ38 ILM5:ILN38 IBQ5:IBR38 HRU5:HRV38 HHY5:HHZ38 GYC5:GYD38 GOG5:GOH38 GEK5:GEL38 FUO5:FUP38 FKS5:FKT38 FAW5:FAX38 ERA5:ERB38 EHE5:EHF38 DXI5:DXJ38 DNM5:DNN38 DDQ5:DDR38 CTU5:CTV38 CJY5:CJZ38 CAC5:CAD38 BQG5:BQH38 BGK5:BGL38 AWO5:AWP38 AMS5:AMT38 ACW5:ACX38 TA5:TB38 JE5:JF38" xr:uid="{FD6D3C30-E44F-425F-9AD6-89D2438D9628}">
      <formula1>勘定科目</formula1>
    </dataValidation>
    <dataValidation type="list" allowBlank="1" showInputMessage="1" showErrorMessage="1" sqref="F5:F44" xr:uid="{602FC136-F685-4EC7-A1E8-5FF7024D4B42}">
      <formula1>歳入_予算科目</formula1>
    </dataValidation>
  </dataValidations>
  <pageMargins left="0.7" right="0.7" top="0.75" bottom="0.75" header="0.3" footer="0.3"/>
  <pageSetup paperSize="8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FEE2-BDA4-4A27-A3C9-3085A1D7DD28}">
  <sheetPr>
    <tabColor rgb="FF66CCFF"/>
    <pageSetUpPr fitToPage="1"/>
  </sheetPr>
  <dimension ref="A1:J54"/>
  <sheetViews>
    <sheetView zoomScale="102" zoomScaleNormal="115" workbookViewId="0">
      <pane xSplit="4" ySplit="5" topLeftCell="E14" activePane="bottomRight" state="frozen"/>
      <selection activeCell="J31" sqref="J31"/>
      <selection pane="topRight" activeCell="J31" sqref="J31"/>
      <selection pane="bottomLeft" activeCell="J31" sqref="J31"/>
      <selection pane="bottomRight" activeCell="J31" sqref="J31"/>
    </sheetView>
  </sheetViews>
  <sheetFormatPr defaultColWidth="8.625" defaultRowHeight="17.100000000000001" customHeight="1" x14ac:dyDescent="0.4"/>
  <cols>
    <col min="1" max="1" width="3.625" style="21" customWidth="1"/>
    <col min="2" max="3" width="15.625" style="21" customWidth="1"/>
    <col min="4" max="4" width="13.125" style="21" customWidth="1"/>
    <col min="5" max="5" width="13.625" style="21" customWidth="1"/>
    <col min="6" max="6" width="9" style="21" bestFit="1" customWidth="1"/>
    <col min="7" max="7" width="2.125" style="21" customWidth="1"/>
    <col min="8" max="9" width="25.625" style="21" customWidth="1"/>
    <col min="10" max="10" width="15.625" style="21" customWidth="1"/>
    <col min="11" max="16384" width="8.625" style="21"/>
  </cols>
  <sheetData>
    <row r="1" spans="1:10" ht="17.100000000000001" customHeight="1" thickBot="1" x14ac:dyDescent="0.45">
      <c r="A1" s="21" t="str">
        <f>"令和"&amp;チェックシート!$C$3&amp;"年度"</f>
        <v>令和5年度</v>
      </c>
      <c r="F1" s="330"/>
    </row>
    <row r="2" spans="1:10" ht="17.100000000000001" customHeight="1" thickTop="1" x14ac:dyDescent="0.4">
      <c r="A2" s="281" t="str">
        <f>チェックシート!$C$2</f>
        <v>白子町</v>
      </c>
      <c r="D2" s="368" t="s">
        <v>232</v>
      </c>
      <c r="E2" s="360" t="s">
        <v>233</v>
      </c>
      <c r="F2" s="41"/>
    </row>
    <row r="3" spans="1:10" ht="17.100000000000001" customHeight="1" x14ac:dyDescent="0.4">
      <c r="A3" s="63" t="s">
        <v>327</v>
      </c>
      <c r="D3" s="368"/>
      <c r="E3" s="34"/>
      <c r="F3" s="370" t="s">
        <v>635</v>
      </c>
      <c r="H3" s="331" t="s">
        <v>186</v>
      </c>
    </row>
    <row r="4" spans="1:10" ht="17.100000000000001" customHeight="1" x14ac:dyDescent="0.4">
      <c r="C4" s="205" t="s">
        <v>548</v>
      </c>
      <c r="D4" s="368"/>
      <c r="E4" s="34"/>
      <c r="F4" s="371"/>
      <c r="H4" s="367" t="s">
        <v>234</v>
      </c>
      <c r="I4" s="367" t="s">
        <v>235</v>
      </c>
      <c r="J4" s="367" t="s">
        <v>190</v>
      </c>
    </row>
    <row r="5" spans="1:10" ht="17.100000000000001" customHeight="1" x14ac:dyDescent="0.4">
      <c r="A5" s="24" t="s">
        <v>236</v>
      </c>
      <c r="B5" s="368" t="s">
        <v>237</v>
      </c>
      <c r="C5" s="369"/>
      <c r="D5" s="368"/>
      <c r="E5" s="34"/>
      <c r="F5" s="372"/>
      <c r="H5" s="367"/>
      <c r="I5" s="367"/>
      <c r="J5" s="367"/>
    </row>
    <row r="6" spans="1:10" ht="17.100000000000001" customHeight="1" x14ac:dyDescent="0.4">
      <c r="A6" s="35">
        <v>1</v>
      </c>
      <c r="B6" s="332" t="s">
        <v>238</v>
      </c>
      <c r="C6" s="333"/>
      <c r="D6" s="334">
        <f t="shared" ref="D6:D51" si="0">+SUM(E6:F6)</f>
        <v>100697794</v>
      </c>
      <c r="E6" s="335">
        <v>100697794</v>
      </c>
      <c r="F6" s="336">
        <v>0</v>
      </c>
      <c r="H6" s="25" t="s">
        <v>60</v>
      </c>
      <c r="I6" s="25" t="s">
        <v>85</v>
      </c>
      <c r="J6" s="337">
        <f t="shared" ref="J6:J52" si="1">D6</f>
        <v>100697794</v>
      </c>
    </row>
    <row r="7" spans="1:10" ht="17.100000000000001" customHeight="1" x14ac:dyDescent="0.4">
      <c r="A7" s="36">
        <v>2</v>
      </c>
      <c r="B7" s="338" t="s">
        <v>239</v>
      </c>
      <c r="C7" s="339"/>
      <c r="D7" s="340">
        <f t="shared" si="0"/>
        <v>549852896</v>
      </c>
      <c r="E7" s="341">
        <v>549852896</v>
      </c>
      <c r="F7" s="342"/>
      <c r="H7" s="25" t="s">
        <v>57</v>
      </c>
      <c r="I7" s="25" t="s">
        <v>85</v>
      </c>
      <c r="J7" s="337">
        <f t="shared" si="1"/>
        <v>549852896</v>
      </c>
    </row>
    <row r="8" spans="1:10" ht="17.100000000000001" customHeight="1" x14ac:dyDescent="0.4">
      <c r="A8" s="36">
        <v>3</v>
      </c>
      <c r="B8" s="338" t="s">
        <v>240</v>
      </c>
      <c r="C8" s="339"/>
      <c r="D8" s="340">
        <f t="shared" si="0"/>
        <v>293600102</v>
      </c>
      <c r="E8" s="341">
        <v>293600102</v>
      </c>
      <c r="F8" s="342"/>
      <c r="H8" s="25" t="s">
        <v>57</v>
      </c>
      <c r="I8" s="25" t="s">
        <v>85</v>
      </c>
      <c r="J8" s="337">
        <f t="shared" si="1"/>
        <v>293600102</v>
      </c>
    </row>
    <row r="9" spans="1:10" ht="17.100000000000001" customHeight="1" x14ac:dyDescent="0.4">
      <c r="A9" s="36">
        <v>4</v>
      </c>
      <c r="B9" s="338" t="s">
        <v>241</v>
      </c>
      <c r="C9" s="339"/>
      <c r="D9" s="340">
        <f t="shared" si="0"/>
        <v>179410793</v>
      </c>
      <c r="E9" s="341">
        <v>179410793</v>
      </c>
      <c r="F9" s="342"/>
      <c r="H9" s="25" t="s">
        <v>57</v>
      </c>
      <c r="I9" s="25" t="s">
        <v>85</v>
      </c>
      <c r="J9" s="337">
        <f t="shared" si="1"/>
        <v>179410793</v>
      </c>
    </row>
    <row r="10" spans="1:10" ht="17.100000000000001" customHeight="1" x14ac:dyDescent="0.4">
      <c r="A10" s="36">
        <v>5</v>
      </c>
      <c r="B10" s="338" t="s">
        <v>242</v>
      </c>
      <c r="C10" s="339"/>
      <c r="D10" s="340">
        <f t="shared" si="0"/>
        <v>0</v>
      </c>
      <c r="E10" s="341"/>
      <c r="F10" s="342"/>
      <c r="H10" s="25" t="s">
        <v>57</v>
      </c>
      <c r="I10" s="25" t="s">
        <v>85</v>
      </c>
      <c r="J10" s="337">
        <f t="shared" si="1"/>
        <v>0</v>
      </c>
    </row>
    <row r="11" spans="1:10" ht="17.100000000000001" customHeight="1" x14ac:dyDescent="0.4">
      <c r="A11" s="36">
        <v>6</v>
      </c>
      <c r="B11" s="338" t="s">
        <v>243</v>
      </c>
      <c r="C11" s="339"/>
      <c r="D11" s="340">
        <f t="shared" si="0"/>
        <v>0</v>
      </c>
      <c r="E11" s="341"/>
      <c r="F11" s="342"/>
      <c r="H11" s="25" t="s">
        <v>60</v>
      </c>
      <c r="I11" s="25" t="s">
        <v>85</v>
      </c>
      <c r="J11" s="337">
        <f t="shared" si="1"/>
        <v>0</v>
      </c>
    </row>
    <row r="12" spans="1:10" ht="17.100000000000001" customHeight="1" x14ac:dyDescent="0.4">
      <c r="A12" s="312" t="s">
        <v>613</v>
      </c>
      <c r="B12" s="338" t="s">
        <v>244</v>
      </c>
      <c r="C12" s="339" t="s">
        <v>245</v>
      </c>
      <c r="D12" s="340">
        <f t="shared" si="0"/>
        <v>0</v>
      </c>
      <c r="E12" s="341"/>
      <c r="F12" s="342"/>
      <c r="H12" s="25" t="s">
        <v>60</v>
      </c>
      <c r="I12" s="25" t="s">
        <v>85</v>
      </c>
      <c r="J12" s="337">
        <f t="shared" si="1"/>
        <v>0</v>
      </c>
    </row>
    <row r="13" spans="1:10" ht="17.100000000000001" customHeight="1" x14ac:dyDescent="0.4">
      <c r="A13" s="36"/>
      <c r="B13" s="338"/>
      <c r="C13" s="339" t="s">
        <v>246</v>
      </c>
      <c r="D13" s="340">
        <f t="shared" si="0"/>
        <v>0</v>
      </c>
      <c r="E13" s="341"/>
      <c r="F13" s="342"/>
      <c r="H13" s="25" t="s">
        <v>61</v>
      </c>
      <c r="I13" s="25" t="s">
        <v>86</v>
      </c>
      <c r="J13" s="337">
        <f t="shared" si="1"/>
        <v>0</v>
      </c>
    </row>
    <row r="14" spans="1:10" ht="17.100000000000001" customHeight="1" x14ac:dyDescent="0.4">
      <c r="A14" s="36">
        <v>7</v>
      </c>
      <c r="B14" s="338" t="s">
        <v>247</v>
      </c>
      <c r="C14" s="339"/>
      <c r="D14" s="340">
        <f t="shared" si="0"/>
        <v>89519318</v>
      </c>
      <c r="E14" s="341">
        <v>89519318</v>
      </c>
      <c r="F14" s="342"/>
      <c r="H14" s="25" t="s">
        <v>61</v>
      </c>
      <c r="I14" s="25" t="s">
        <v>86</v>
      </c>
      <c r="J14" s="337">
        <f t="shared" si="1"/>
        <v>89519318</v>
      </c>
    </row>
    <row r="15" spans="1:10" ht="17.100000000000001" customHeight="1" x14ac:dyDescent="0.4">
      <c r="A15" s="36">
        <v>8</v>
      </c>
      <c r="B15" s="338" t="s">
        <v>248</v>
      </c>
      <c r="C15" s="339"/>
      <c r="D15" s="340">
        <f t="shared" si="0"/>
        <v>2020778</v>
      </c>
      <c r="E15" s="341">
        <v>2020778</v>
      </c>
      <c r="F15" s="342"/>
      <c r="H15" s="25" t="s">
        <v>61</v>
      </c>
      <c r="I15" s="25" t="s">
        <v>86</v>
      </c>
      <c r="J15" s="337">
        <f t="shared" si="1"/>
        <v>2020778</v>
      </c>
    </row>
    <row r="16" spans="1:10" ht="17.100000000000001" customHeight="1" x14ac:dyDescent="0.4">
      <c r="A16" s="36">
        <v>9</v>
      </c>
      <c r="B16" s="338" t="s">
        <v>249</v>
      </c>
      <c r="C16" s="339"/>
      <c r="D16" s="340">
        <f t="shared" si="0"/>
        <v>1041947</v>
      </c>
      <c r="E16" s="341">
        <v>1041947</v>
      </c>
      <c r="F16" s="342"/>
      <c r="H16" s="25" t="s">
        <v>61</v>
      </c>
      <c r="I16" s="25" t="s">
        <v>86</v>
      </c>
      <c r="J16" s="337">
        <f t="shared" si="1"/>
        <v>1041947</v>
      </c>
    </row>
    <row r="17" spans="1:10" ht="17.100000000000001" customHeight="1" x14ac:dyDescent="0.4">
      <c r="A17" s="36">
        <v>10</v>
      </c>
      <c r="B17" s="338" t="s">
        <v>250</v>
      </c>
      <c r="C17" s="339" t="s">
        <v>582</v>
      </c>
      <c r="D17" s="340">
        <f t="shared" si="0"/>
        <v>23494409</v>
      </c>
      <c r="E17" s="341">
        <v>23494409</v>
      </c>
      <c r="F17" s="342"/>
      <c r="H17" s="25" t="s">
        <v>62</v>
      </c>
      <c r="I17" s="25" t="s">
        <v>86</v>
      </c>
      <c r="J17" s="337">
        <f t="shared" si="1"/>
        <v>23494409</v>
      </c>
    </row>
    <row r="18" spans="1:10" ht="17.100000000000001" customHeight="1" x14ac:dyDescent="0.4">
      <c r="A18" s="36"/>
      <c r="B18" s="338"/>
      <c r="C18" s="339" t="s">
        <v>583</v>
      </c>
      <c r="D18" s="340">
        <f t="shared" si="0"/>
        <v>0</v>
      </c>
      <c r="E18" s="341"/>
      <c r="F18" s="342"/>
      <c r="H18" s="25" t="s">
        <v>27</v>
      </c>
      <c r="I18" s="25" t="s">
        <v>100</v>
      </c>
      <c r="J18" s="337">
        <f t="shared" si="1"/>
        <v>0</v>
      </c>
    </row>
    <row r="19" spans="1:10" ht="17.100000000000001" customHeight="1" x14ac:dyDescent="0.4">
      <c r="A19" s="36"/>
      <c r="B19" s="338"/>
      <c r="C19" s="339" t="s">
        <v>246</v>
      </c>
      <c r="D19" s="340">
        <f t="shared" si="0"/>
        <v>152715886</v>
      </c>
      <c r="E19" s="341">
        <f>176210295-E17-E18</f>
        <v>152715886</v>
      </c>
      <c r="F19" s="342"/>
      <c r="H19" s="25" t="s">
        <v>61</v>
      </c>
      <c r="I19" s="25" t="s">
        <v>86</v>
      </c>
      <c r="J19" s="337">
        <f t="shared" si="1"/>
        <v>152715886</v>
      </c>
    </row>
    <row r="20" spans="1:10" ht="17.100000000000001" customHeight="1" x14ac:dyDescent="0.4">
      <c r="A20" s="36">
        <v>11</v>
      </c>
      <c r="B20" s="338" t="s">
        <v>251</v>
      </c>
      <c r="C20" s="339" t="s">
        <v>545</v>
      </c>
      <c r="D20" s="340">
        <f t="shared" si="0"/>
        <v>5212725</v>
      </c>
      <c r="E20" s="341">
        <v>5212725</v>
      </c>
      <c r="F20" s="342"/>
      <c r="H20" s="25" t="s">
        <v>67</v>
      </c>
      <c r="I20" s="25" t="s">
        <v>88</v>
      </c>
      <c r="J20" s="337">
        <f t="shared" si="1"/>
        <v>5212725</v>
      </c>
    </row>
    <row r="21" spans="1:10" ht="17.100000000000001" customHeight="1" x14ac:dyDescent="0.4">
      <c r="A21" s="36"/>
      <c r="B21" s="338"/>
      <c r="C21" s="339"/>
      <c r="D21" s="340">
        <f t="shared" si="0"/>
        <v>0</v>
      </c>
      <c r="E21" s="341"/>
      <c r="F21" s="342"/>
      <c r="H21" s="25" t="s">
        <v>64</v>
      </c>
      <c r="I21" s="25" t="s">
        <v>86</v>
      </c>
      <c r="J21" s="337">
        <f t="shared" si="1"/>
        <v>0</v>
      </c>
    </row>
    <row r="22" spans="1:10" ht="17.100000000000001" customHeight="1" x14ac:dyDescent="0.4">
      <c r="A22" s="36"/>
      <c r="B22" s="338"/>
      <c r="C22" s="339" t="s">
        <v>246</v>
      </c>
      <c r="D22" s="340">
        <f t="shared" si="0"/>
        <v>51503869</v>
      </c>
      <c r="E22" s="341">
        <f>56716594-E20</f>
        <v>51503869</v>
      </c>
      <c r="F22" s="342"/>
      <c r="H22" s="25" t="s">
        <v>61</v>
      </c>
      <c r="I22" s="25" t="s">
        <v>86</v>
      </c>
      <c r="J22" s="337">
        <f t="shared" si="1"/>
        <v>51503869</v>
      </c>
    </row>
    <row r="23" spans="1:10" ht="17.100000000000001" customHeight="1" x14ac:dyDescent="0.4">
      <c r="A23" s="36">
        <v>12</v>
      </c>
      <c r="B23" s="338" t="s">
        <v>252</v>
      </c>
      <c r="C23" s="339" t="s">
        <v>253</v>
      </c>
      <c r="D23" s="340">
        <f t="shared" si="0"/>
        <v>422224429</v>
      </c>
      <c r="E23" s="341">
        <f>440738529-E24</f>
        <v>422224429</v>
      </c>
      <c r="F23" s="342"/>
      <c r="H23" s="25" t="s">
        <v>61</v>
      </c>
      <c r="I23" s="25" t="s">
        <v>86</v>
      </c>
      <c r="J23" s="337">
        <f t="shared" si="1"/>
        <v>422224429</v>
      </c>
    </row>
    <row r="24" spans="1:10" ht="17.100000000000001" customHeight="1" x14ac:dyDescent="0.4">
      <c r="A24" s="36"/>
      <c r="B24" s="338"/>
      <c r="C24" s="339" t="s">
        <v>254</v>
      </c>
      <c r="D24" s="340">
        <f t="shared" si="0"/>
        <v>18514100</v>
      </c>
      <c r="E24" s="341">
        <v>18514100</v>
      </c>
      <c r="F24" s="342"/>
      <c r="H24" s="25" t="s">
        <v>27</v>
      </c>
      <c r="I24" s="25" t="s">
        <v>100</v>
      </c>
      <c r="J24" s="337">
        <f t="shared" si="1"/>
        <v>18514100</v>
      </c>
    </row>
    <row r="25" spans="1:10" ht="17.100000000000001" customHeight="1" x14ac:dyDescent="0.4">
      <c r="A25" s="36">
        <v>13</v>
      </c>
      <c r="B25" s="338" t="s">
        <v>255</v>
      </c>
      <c r="C25" s="339"/>
      <c r="D25" s="340">
        <f t="shared" si="0"/>
        <v>125343054</v>
      </c>
      <c r="E25" s="341">
        <v>125343054</v>
      </c>
      <c r="F25" s="342"/>
      <c r="H25" s="25" t="s">
        <v>61</v>
      </c>
      <c r="I25" s="25" t="s">
        <v>86</v>
      </c>
      <c r="J25" s="337">
        <f t="shared" si="1"/>
        <v>125343054</v>
      </c>
    </row>
    <row r="26" spans="1:10" ht="17.100000000000001" customHeight="1" x14ac:dyDescent="0.4">
      <c r="A26" s="36">
        <v>14</v>
      </c>
      <c r="B26" s="338" t="s">
        <v>256</v>
      </c>
      <c r="C26" s="339" t="s">
        <v>253</v>
      </c>
      <c r="D26" s="340">
        <f t="shared" si="0"/>
        <v>4848879</v>
      </c>
      <c r="E26" s="341">
        <f>267799785-E27</f>
        <v>4848879</v>
      </c>
      <c r="F26" s="342"/>
      <c r="H26" s="25" t="s">
        <v>62</v>
      </c>
      <c r="I26" s="25" t="s">
        <v>86</v>
      </c>
      <c r="J26" s="337">
        <f t="shared" si="1"/>
        <v>4848879</v>
      </c>
    </row>
    <row r="27" spans="1:10" ht="17.100000000000001" customHeight="1" x14ac:dyDescent="0.4">
      <c r="A27" s="36"/>
      <c r="B27" s="338"/>
      <c r="C27" s="339" t="s">
        <v>254</v>
      </c>
      <c r="D27" s="340">
        <f t="shared" si="0"/>
        <v>262950906</v>
      </c>
      <c r="E27" s="341">
        <v>262950906</v>
      </c>
      <c r="F27" s="342"/>
      <c r="H27" s="25" t="s">
        <v>27</v>
      </c>
      <c r="I27" s="25" t="s">
        <v>100</v>
      </c>
      <c r="J27" s="337">
        <f t="shared" si="1"/>
        <v>262950906</v>
      </c>
    </row>
    <row r="28" spans="1:10" ht="17.100000000000001" customHeight="1" x14ac:dyDescent="0.4">
      <c r="A28" s="36">
        <v>15</v>
      </c>
      <c r="B28" s="343" t="s">
        <v>257</v>
      </c>
      <c r="C28" s="344" t="s">
        <v>258</v>
      </c>
      <c r="D28" s="340">
        <f t="shared" si="0"/>
        <v>1945685</v>
      </c>
      <c r="E28" s="341">
        <v>1945685</v>
      </c>
      <c r="F28" s="342"/>
      <c r="H28" s="25" t="s">
        <v>61</v>
      </c>
      <c r="I28" s="25" t="s">
        <v>86</v>
      </c>
      <c r="J28" s="337">
        <f t="shared" si="1"/>
        <v>1945685</v>
      </c>
    </row>
    <row r="29" spans="1:10" ht="17.100000000000001" customHeight="1" x14ac:dyDescent="0.4">
      <c r="A29" s="36"/>
      <c r="B29" s="338"/>
      <c r="C29" s="339" t="s">
        <v>246</v>
      </c>
      <c r="D29" s="340">
        <f t="shared" si="0"/>
        <v>0</v>
      </c>
      <c r="E29" s="341"/>
      <c r="F29" s="342"/>
      <c r="H29" s="25" t="s">
        <v>62</v>
      </c>
      <c r="I29" s="25" t="s">
        <v>86</v>
      </c>
      <c r="J29" s="337">
        <f t="shared" si="1"/>
        <v>0</v>
      </c>
    </row>
    <row r="30" spans="1:10" ht="17.100000000000001" customHeight="1" x14ac:dyDescent="0.4">
      <c r="A30" s="36">
        <v>16</v>
      </c>
      <c r="B30" s="343" t="s">
        <v>259</v>
      </c>
      <c r="C30" s="344" t="s">
        <v>253</v>
      </c>
      <c r="D30" s="340">
        <f t="shared" si="0"/>
        <v>0</v>
      </c>
      <c r="E30" s="341">
        <f>1133340-E31</f>
        <v>0</v>
      </c>
      <c r="F30" s="342"/>
      <c r="H30" s="25" t="s">
        <v>61</v>
      </c>
      <c r="I30" s="25" t="s">
        <v>86</v>
      </c>
      <c r="J30" s="337">
        <f t="shared" si="1"/>
        <v>0</v>
      </c>
    </row>
    <row r="31" spans="1:10" ht="17.100000000000001" customHeight="1" x14ac:dyDescent="0.4">
      <c r="A31" s="36"/>
      <c r="B31" s="343"/>
      <c r="C31" s="344" t="s">
        <v>254</v>
      </c>
      <c r="D31" s="340">
        <f t="shared" si="0"/>
        <v>1133340</v>
      </c>
      <c r="E31" s="341">
        <v>1133340</v>
      </c>
      <c r="F31" s="342"/>
      <c r="H31" s="25" t="s">
        <v>27</v>
      </c>
      <c r="I31" s="25" t="s">
        <v>100</v>
      </c>
      <c r="J31" s="337">
        <f t="shared" si="1"/>
        <v>1133340</v>
      </c>
    </row>
    <row r="32" spans="1:10" ht="17.100000000000001" customHeight="1" x14ac:dyDescent="0.4">
      <c r="A32" s="36">
        <v>17</v>
      </c>
      <c r="B32" s="338" t="s">
        <v>260</v>
      </c>
      <c r="C32" s="339" t="s">
        <v>253</v>
      </c>
      <c r="D32" s="340">
        <f t="shared" si="0"/>
        <v>11296283</v>
      </c>
      <c r="E32" s="341">
        <f>12374283-E33</f>
        <v>11296283</v>
      </c>
      <c r="F32" s="342"/>
      <c r="H32" s="25" t="s">
        <v>61</v>
      </c>
      <c r="I32" s="25" t="s">
        <v>86</v>
      </c>
      <c r="J32" s="337">
        <f t="shared" si="1"/>
        <v>11296283</v>
      </c>
    </row>
    <row r="33" spans="1:10" ht="17.100000000000001" customHeight="1" x14ac:dyDescent="0.4">
      <c r="A33" s="36"/>
      <c r="B33" s="338"/>
      <c r="C33" s="339" t="s">
        <v>254</v>
      </c>
      <c r="D33" s="340">
        <f t="shared" si="0"/>
        <v>1078000</v>
      </c>
      <c r="E33" s="341">
        <v>1078000</v>
      </c>
      <c r="F33" s="342"/>
      <c r="H33" s="25" t="s">
        <v>27</v>
      </c>
      <c r="I33" s="25" t="s">
        <v>100</v>
      </c>
      <c r="J33" s="337">
        <f t="shared" si="1"/>
        <v>1078000</v>
      </c>
    </row>
    <row r="34" spans="1:10" ht="17.100000000000001" customHeight="1" x14ac:dyDescent="0.4">
      <c r="A34" s="36">
        <v>18</v>
      </c>
      <c r="B34" s="338" t="s">
        <v>261</v>
      </c>
      <c r="C34" s="339"/>
      <c r="D34" s="340">
        <f t="shared" si="0"/>
        <v>1224815066</v>
      </c>
      <c r="E34" s="341">
        <v>1224815066</v>
      </c>
      <c r="F34" s="342"/>
      <c r="H34" s="25" t="s">
        <v>68</v>
      </c>
      <c r="I34" s="25" t="s">
        <v>89</v>
      </c>
      <c r="J34" s="337">
        <f t="shared" si="1"/>
        <v>1224815066</v>
      </c>
    </row>
    <row r="35" spans="1:10" ht="17.100000000000001" customHeight="1" x14ac:dyDescent="0.4">
      <c r="A35" s="36">
        <v>19</v>
      </c>
      <c r="B35" s="338" t="s">
        <v>262</v>
      </c>
      <c r="C35" s="339"/>
      <c r="D35" s="340">
        <f t="shared" si="0"/>
        <v>460155840</v>
      </c>
      <c r="E35" s="341">
        <v>460155840</v>
      </c>
      <c r="F35" s="342"/>
      <c r="H35" s="25" t="s">
        <v>69</v>
      </c>
      <c r="I35" s="25" t="s">
        <v>90</v>
      </c>
      <c r="J35" s="337">
        <f t="shared" si="1"/>
        <v>460155840</v>
      </c>
    </row>
    <row r="36" spans="1:10" ht="17.100000000000001" customHeight="1" x14ac:dyDescent="0.4">
      <c r="A36" s="36">
        <v>20</v>
      </c>
      <c r="B36" s="338" t="s">
        <v>263</v>
      </c>
      <c r="C36" s="339" t="s">
        <v>264</v>
      </c>
      <c r="D36" s="340">
        <f t="shared" si="0"/>
        <v>0</v>
      </c>
      <c r="E36" s="341"/>
      <c r="F36" s="342"/>
      <c r="H36" s="25" t="s">
        <v>33</v>
      </c>
      <c r="I36" s="25" t="s">
        <v>103</v>
      </c>
      <c r="J36" s="337">
        <f t="shared" si="1"/>
        <v>0</v>
      </c>
    </row>
    <row r="37" spans="1:10" ht="17.100000000000001" customHeight="1" x14ac:dyDescent="0.4">
      <c r="A37" s="36"/>
      <c r="B37" s="338"/>
      <c r="C37" s="339" t="s">
        <v>265</v>
      </c>
      <c r="D37" s="340">
        <f t="shared" si="0"/>
        <v>0</v>
      </c>
      <c r="E37" s="341"/>
      <c r="F37" s="342"/>
      <c r="H37" s="25" t="s">
        <v>38</v>
      </c>
      <c r="I37" s="25" t="s">
        <v>103</v>
      </c>
      <c r="J37" s="337">
        <f t="shared" si="1"/>
        <v>0</v>
      </c>
    </row>
    <row r="38" spans="1:10" ht="17.100000000000001" customHeight="1" x14ac:dyDescent="0.4">
      <c r="A38" s="36"/>
      <c r="B38" s="338"/>
      <c r="C38" s="339" t="s">
        <v>246</v>
      </c>
      <c r="D38" s="340">
        <f t="shared" si="0"/>
        <v>0</v>
      </c>
      <c r="E38" s="341"/>
      <c r="F38" s="342"/>
      <c r="H38" s="25" t="s">
        <v>67</v>
      </c>
      <c r="I38" s="25" t="s">
        <v>88</v>
      </c>
      <c r="J38" s="337">
        <f t="shared" si="1"/>
        <v>0</v>
      </c>
    </row>
    <row r="39" spans="1:10" ht="17.100000000000001" customHeight="1" x14ac:dyDescent="0.4">
      <c r="A39" s="36">
        <v>21</v>
      </c>
      <c r="B39" s="343" t="s">
        <v>266</v>
      </c>
      <c r="C39" s="344" t="s">
        <v>253</v>
      </c>
      <c r="D39" s="340">
        <f t="shared" si="0"/>
        <v>87330</v>
      </c>
      <c r="E39" s="341">
        <v>87330</v>
      </c>
      <c r="F39" s="342"/>
      <c r="H39" s="25" t="s">
        <v>71</v>
      </c>
      <c r="I39" s="25" t="s">
        <v>92</v>
      </c>
      <c r="J39" s="337">
        <f t="shared" si="1"/>
        <v>87330</v>
      </c>
    </row>
    <row r="40" spans="1:10" ht="17.100000000000001" customHeight="1" x14ac:dyDescent="0.4">
      <c r="A40" s="36"/>
      <c r="B40" s="338"/>
      <c r="C40" s="339" t="s">
        <v>254</v>
      </c>
      <c r="D40" s="340">
        <f t="shared" si="0"/>
        <v>0</v>
      </c>
      <c r="E40" s="341"/>
      <c r="F40" s="342"/>
      <c r="H40" s="25" t="s">
        <v>27</v>
      </c>
      <c r="I40" s="25" t="s">
        <v>100</v>
      </c>
      <c r="J40" s="337">
        <f t="shared" si="1"/>
        <v>0</v>
      </c>
    </row>
    <row r="41" spans="1:10" ht="17.100000000000001" customHeight="1" x14ac:dyDescent="0.4">
      <c r="A41" s="36">
        <v>22</v>
      </c>
      <c r="B41" s="343" t="s">
        <v>267</v>
      </c>
      <c r="C41" s="339" t="s">
        <v>268</v>
      </c>
      <c r="D41" s="340">
        <f t="shared" si="0"/>
        <v>375852129</v>
      </c>
      <c r="E41" s="341">
        <v>375852129</v>
      </c>
      <c r="F41" s="342"/>
      <c r="H41" s="25" t="s">
        <v>49</v>
      </c>
      <c r="I41" s="25" t="s">
        <v>110</v>
      </c>
      <c r="J41" s="337">
        <f t="shared" si="1"/>
        <v>375852129</v>
      </c>
    </row>
    <row r="42" spans="1:10" ht="17.100000000000001" customHeight="1" x14ac:dyDescent="0.4">
      <c r="A42" s="36"/>
      <c r="B42" s="338"/>
      <c r="C42" s="339" t="s">
        <v>269</v>
      </c>
      <c r="D42" s="340">
        <f t="shared" si="0"/>
        <v>13930964</v>
      </c>
      <c r="E42" s="341">
        <v>13930964</v>
      </c>
      <c r="F42" s="342"/>
      <c r="H42" s="25" t="s">
        <v>65</v>
      </c>
      <c r="I42" s="25" t="s">
        <v>87</v>
      </c>
      <c r="J42" s="337">
        <f t="shared" si="1"/>
        <v>13930964</v>
      </c>
    </row>
    <row r="43" spans="1:10" ht="17.100000000000001" customHeight="1" x14ac:dyDescent="0.4">
      <c r="A43" s="36"/>
      <c r="B43" s="338"/>
      <c r="C43" s="339" t="s">
        <v>246</v>
      </c>
      <c r="D43" s="340">
        <f t="shared" si="0"/>
        <v>43066025</v>
      </c>
      <c r="E43" s="341">
        <f>432849118-E41-E42</f>
        <v>43066025</v>
      </c>
      <c r="F43" s="342"/>
      <c r="H43" s="25" t="s">
        <v>67</v>
      </c>
      <c r="I43" s="25" t="s">
        <v>88</v>
      </c>
      <c r="J43" s="337">
        <f t="shared" si="1"/>
        <v>43066025</v>
      </c>
    </row>
    <row r="44" spans="1:10" ht="17.100000000000001" customHeight="1" x14ac:dyDescent="0.4">
      <c r="A44" s="36">
        <v>23</v>
      </c>
      <c r="B44" s="338" t="s">
        <v>270</v>
      </c>
      <c r="C44" s="339"/>
      <c r="D44" s="340">
        <f t="shared" si="0"/>
        <v>0</v>
      </c>
      <c r="E44" s="341"/>
      <c r="F44" s="342"/>
      <c r="H44" s="25" t="s">
        <v>30</v>
      </c>
      <c r="I44" s="25" t="s">
        <v>102</v>
      </c>
      <c r="J44" s="337">
        <f t="shared" si="1"/>
        <v>0</v>
      </c>
    </row>
    <row r="45" spans="1:10" ht="17.100000000000001" customHeight="1" x14ac:dyDescent="0.4">
      <c r="A45" s="36">
        <v>24</v>
      </c>
      <c r="B45" s="338" t="s">
        <v>271</v>
      </c>
      <c r="C45" s="339" t="s">
        <v>272</v>
      </c>
      <c r="D45" s="340">
        <f t="shared" si="0"/>
        <v>115170000</v>
      </c>
      <c r="E45" s="341">
        <v>115170000</v>
      </c>
      <c r="F45" s="342"/>
      <c r="H45" s="25" t="s">
        <v>39</v>
      </c>
      <c r="I45" s="25" t="s">
        <v>101</v>
      </c>
      <c r="J45" s="337">
        <f t="shared" si="1"/>
        <v>115170000</v>
      </c>
    </row>
    <row r="46" spans="1:10" ht="17.100000000000001" customHeight="1" x14ac:dyDescent="0.4">
      <c r="A46" s="36"/>
      <c r="B46" s="338"/>
      <c r="C46" s="339" t="s">
        <v>273</v>
      </c>
      <c r="D46" s="340">
        <f t="shared" si="0"/>
        <v>0</v>
      </c>
      <c r="E46" s="341"/>
      <c r="F46" s="342"/>
      <c r="H46" s="25" t="s">
        <v>34</v>
      </c>
      <c r="I46" s="25" t="s">
        <v>101</v>
      </c>
      <c r="J46" s="337">
        <f t="shared" si="1"/>
        <v>0</v>
      </c>
    </row>
    <row r="47" spans="1:10" ht="17.100000000000001" customHeight="1" x14ac:dyDescent="0.4">
      <c r="A47" s="36"/>
      <c r="B47" s="338"/>
      <c r="C47" s="339" t="s">
        <v>274</v>
      </c>
      <c r="D47" s="340">
        <f t="shared" si="0"/>
        <v>16008000</v>
      </c>
      <c r="E47" s="341">
        <v>16008000</v>
      </c>
      <c r="F47" s="342"/>
      <c r="H47" s="25" t="s">
        <v>40</v>
      </c>
      <c r="I47" s="25" t="s">
        <v>101</v>
      </c>
      <c r="J47" s="337">
        <f t="shared" si="1"/>
        <v>16008000</v>
      </c>
    </row>
    <row r="48" spans="1:10" ht="17.100000000000001" customHeight="1" x14ac:dyDescent="0.4">
      <c r="A48" s="36"/>
      <c r="B48" s="338"/>
      <c r="C48" s="339" t="s">
        <v>275</v>
      </c>
      <c r="D48" s="340">
        <f t="shared" si="0"/>
        <v>176103663</v>
      </c>
      <c r="E48" s="341">
        <v>176103663</v>
      </c>
      <c r="F48" s="342"/>
      <c r="H48" s="25" t="s">
        <v>35</v>
      </c>
      <c r="I48" s="25" t="s">
        <v>101</v>
      </c>
      <c r="J48" s="337">
        <f t="shared" si="1"/>
        <v>176103663</v>
      </c>
    </row>
    <row r="49" spans="1:10" ht="17.100000000000001" customHeight="1" x14ac:dyDescent="0.4">
      <c r="A49" s="36">
        <v>25</v>
      </c>
      <c r="B49" s="338" t="s">
        <v>216</v>
      </c>
      <c r="C49" s="339"/>
      <c r="D49" s="340">
        <f t="shared" si="0"/>
        <v>0</v>
      </c>
      <c r="E49" s="341"/>
      <c r="F49" s="342"/>
      <c r="H49" s="25" t="s">
        <v>71</v>
      </c>
      <c r="I49" s="25" t="s">
        <v>92</v>
      </c>
      <c r="J49" s="337">
        <f t="shared" si="1"/>
        <v>0</v>
      </c>
    </row>
    <row r="50" spans="1:10" ht="17.100000000000001" customHeight="1" x14ac:dyDescent="0.4">
      <c r="A50" s="36">
        <v>26</v>
      </c>
      <c r="B50" s="338" t="s">
        <v>276</v>
      </c>
      <c r="C50" s="339"/>
      <c r="D50" s="340">
        <f t="shared" si="0"/>
        <v>290200</v>
      </c>
      <c r="E50" s="341">
        <v>290200</v>
      </c>
      <c r="F50" s="342"/>
      <c r="H50" s="25" t="s">
        <v>71</v>
      </c>
      <c r="I50" s="25" t="s">
        <v>92</v>
      </c>
      <c r="J50" s="337">
        <f t="shared" si="1"/>
        <v>290200</v>
      </c>
    </row>
    <row r="51" spans="1:10" ht="17.100000000000001" customHeight="1" x14ac:dyDescent="0.4">
      <c r="A51" s="36">
        <v>27</v>
      </c>
      <c r="B51" s="338" t="s">
        <v>277</v>
      </c>
      <c r="C51" s="339"/>
      <c r="D51" s="340">
        <f t="shared" si="0"/>
        <v>473845014</v>
      </c>
      <c r="E51" s="341">
        <v>473845014</v>
      </c>
      <c r="F51" s="342"/>
      <c r="H51" s="25" t="s">
        <v>70</v>
      </c>
      <c r="I51" s="25" t="s">
        <v>91</v>
      </c>
      <c r="J51" s="337">
        <f t="shared" si="1"/>
        <v>473845014</v>
      </c>
    </row>
    <row r="52" spans="1:10" ht="17.100000000000001" customHeight="1" thickBot="1" x14ac:dyDescent="0.45">
      <c r="A52" s="37"/>
      <c r="B52" s="345"/>
      <c r="C52" s="346"/>
      <c r="D52" s="347">
        <f>SUM(E52:F52)</f>
        <v>0</v>
      </c>
      <c r="E52" s="348"/>
      <c r="F52" s="349"/>
      <c r="H52" s="25"/>
      <c r="I52" s="25"/>
      <c r="J52" s="337">
        <f t="shared" si="1"/>
        <v>0</v>
      </c>
    </row>
    <row r="53" spans="1:10" ht="17.100000000000001" customHeight="1" thickTop="1" x14ac:dyDescent="0.4">
      <c r="A53" s="25"/>
      <c r="B53" s="350"/>
      <c r="C53" s="351" t="s">
        <v>278</v>
      </c>
      <c r="D53" s="352">
        <f t="shared" ref="D53:F53" si="2">+SUM(D6:D52)</f>
        <v>5197729424</v>
      </c>
      <c r="E53" s="353">
        <f t="shared" si="2"/>
        <v>5197729424</v>
      </c>
      <c r="F53" s="352">
        <f t="shared" si="2"/>
        <v>0</v>
      </c>
      <c r="G53" s="281">
        <f>+D53-SUM(E53:F53)</f>
        <v>0</v>
      </c>
      <c r="H53" s="25"/>
      <c r="I53" s="33" t="s">
        <v>278</v>
      </c>
      <c r="J53" s="337">
        <f>SUM(J6:J52)</f>
        <v>5197729424</v>
      </c>
    </row>
    <row r="54" spans="1:10" ht="17.100000000000001" customHeight="1" x14ac:dyDescent="0.4">
      <c r="J54" s="327"/>
    </row>
  </sheetData>
  <mergeCells count="6">
    <mergeCell ref="I4:I5"/>
    <mergeCell ref="J4:J5"/>
    <mergeCell ref="B5:C5"/>
    <mergeCell ref="D2:D5"/>
    <mergeCell ref="F3:F5"/>
    <mergeCell ref="H4:H5"/>
  </mergeCells>
  <phoneticPr fontId="1"/>
  <dataValidations count="1">
    <dataValidation type="list" allowBlank="1" showInputMessage="1" showErrorMessage="1" sqref="H6:I52" xr:uid="{F2DB97BB-D7F8-418F-BE80-846C9C163F85}">
      <formula1>勘定科目</formula1>
    </dataValidation>
  </dataValidations>
  <pageMargins left="0.7" right="0.7" top="0.75" bottom="0.75" header="0.3" footer="0.3"/>
  <pageSetup paperSize="8"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21AB-FD30-414E-A746-801CE168D10E}">
  <sheetPr>
    <tabColor rgb="FF66CCFF"/>
    <pageSetUpPr fitToPage="1"/>
  </sheetPr>
  <dimension ref="A1:L72"/>
  <sheetViews>
    <sheetView topLeftCell="A40" workbookViewId="0">
      <selection activeCell="J31" sqref="J31"/>
    </sheetView>
  </sheetViews>
  <sheetFormatPr defaultColWidth="8.625" defaultRowHeight="17.100000000000001" customHeight="1" x14ac:dyDescent="0.4"/>
  <cols>
    <col min="1" max="1" width="2.125" style="21" customWidth="1"/>
    <col min="2" max="5" width="10.625" style="21" customWidth="1"/>
    <col min="6" max="6" width="15.625" style="21" customWidth="1"/>
    <col min="7" max="7" width="20.625" style="21" customWidth="1"/>
    <col min="8" max="8" width="15.625" style="21" customWidth="1"/>
    <col min="9" max="9" width="25.625" style="21" customWidth="1"/>
    <col min="10" max="10" width="2.125" style="21" customWidth="1"/>
    <col min="11" max="11" width="20.625" style="21" customWidth="1"/>
    <col min="12" max="12" width="15.625" style="21" customWidth="1"/>
    <col min="13" max="16384" width="8.625" style="21"/>
  </cols>
  <sheetData>
    <row r="1" spans="1:12" ht="17.100000000000001" customHeight="1" x14ac:dyDescent="0.4">
      <c r="A1" s="21" t="str">
        <f>"令和"&amp;チェックシート!$C$3&amp;"年度"</f>
        <v>令和5年度</v>
      </c>
    </row>
    <row r="2" spans="1:12" ht="17.100000000000001" customHeight="1" x14ac:dyDescent="0.4">
      <c r="A2" s="281" t="str">
        <f>チェックシート!$C$2</f>
        <v>白子町</v>
      </c>
    </row>
    <row r="3" spans="1:12" ht="17.100000000000001" customHeight="1" x14ac:dyDescent="0.4">
      <c r="B3" s="63" t="s">
        <v>604</v>
      </c>
      <c r="I3" s="205" t="s">
        <v>548</v>
      </c>
      <c r="K3" s="21" t="s">
        <v>366</v>
      </c>
    </row>
    <row r="4" spans="1:12" ht="17.100000000000001" customHeight="1" x14ac:dyDescent="0.4">
      <c r="B4" s="24" t="s">
        <v>357</v>
      </c>
      <c r="C4" s="24" t="s">
        <v>358</v>
      </c>
      <c r="D4" s="24" t="s">
        <v>359</v>
      </c>
      <c r="E4" s="24" t="s">
        <v>236</v>
      </c>
      <c r="F4" s="24" t="s">
        <v>361</v>
      </c>
      <c r="G4" s="24" t="s">
        <v>362</v>
      </c>
      <c r="H4" s="24" t="s">
        <v>363</v>
      </c>
      <c r="I4" s="24" t="s">
        <v>364</v>
      </c>
      <c r="K4" s="24" t="s">
        <v>365</v>
      </c>
      <c r="L4" s="24" t="s">
        <v>363</v>
      </c>
    </row>
    <row r="5" spans="1:12" ht="16.5" customHeight="1" x14ac:dyDescent="0.4">
      <c r="B5" s="69"/>
      <c r="C5" s="69"/>
      <c r="D5" s="69"/>
      <c r="E5" s="69">
        <v>12</v>
      </c>
      <c r="F5" s="361">
        <v>451000</v>
      </c>
      <c r="G5" s="69" t="s">
        <v>18</v>
      </c>
      <c r="H5" s="361">
        <v>451000</v>
      </c>
      <c r="I5" s="361">
        <v>451000</v>
      </c>
      <c r="K5" s="288" t="s">
        <v>0</v>
      </c>
      <c r="L5" s="289">
        <f t="shared" ref="L5:L23" si="0">SUMIF(G:G,K5,H:H)</f>
        <v>5289816</v>
      </c>
    </row>
    <row r="6" spans="1:12" ht="16.5" customHeight="1" x14ac:dyDescent="0.4">
      <c r="B6" s="69"/>
      <c r="C6" s="69"/>
      <c r="D6" s="69"/>
      <c r="E6" s="69">
        <v>12</v>
      </c>
      <c r="F6" s="290">
        <v>1155000</v>
      </c>
      <c r="G6" s="69" t="s">
        <v>18</v>
      </c>
      <c r="H6" s="290">
        <v>1155000</v>
      </c>
      <c r="I6" s="290">
        <v>1155000</v>
      </c>
      <c r="K6" s="67" t="s">
        <v>1</v>
      </c>
      <c r="L6" s="287">
        <f t="shared" si="0"/>
        <v>0</v>
      </c>
    </row>
    <row r="7" spans="1:12" ht="16.5" customHeight="1" x14ac:dyDescent="0.4">
      <c r="B7" s="69"/>
      <c r="C7" s="69"/>
      <c r="D7" s="69"/>
      <c r="E7" s="69">
        <v>12</v>
      </c>
      <c r="F7" s="290">
        <v>1430000</v>
      </c>
      <c r="G7" s="69" t="s">
        <v>4</v>
      </c>
      <c r="H7" s="290">
        <v>1430000</v>
      </c>
      <c r="I7" s="290">
        <v>1430000</v>
      </c>
      <c r="K7" s="67" t="s">
        <v>2</v>
      </c>
      <c r="L7" s="287">
        <f t="shared" si="0"/>
        <v>113373700</v>
      </c>
    </row>
    <row r="8" spans="1:12" ht="16.5" customHeight="1" x14ac:dyDescent="0.4">
      <c r="B8" s="69"/>
      <c r="C8" s="69"/>
      <c r="D8" s="69"/>
      <c r="E8" s="69">
        <v>12</v>
      </c>
      <c r="F8" s="290">
        <v>1782000</v>
      </c>
      <c r="G8" s="69" t="s">
        <v>18</v>
      </c>
      <c r="H8" s="290">
        <v>1782000</v>
      </c>
      <c r="I8" s="290">
        <v>1782000</v>
      </c>
      <c r="K8" s="67" t="s">
        <v>4</v>
      </c>
      <c r="L8" s="287">
        <f t="shared" si="0"/>
        <v>19661455</v>
      </c>
    </row>
    <row r="9" spans="1:12" ht="16.5" customHeight="1" x14ac:dyDescent="0.4">
      <c r="B9" s="69"/>
      <c r="C9" s="69"/>
      <c r="D9" s="69"/>
      <c r="E9" s="69">
        <v>12</v>
      </c>
      <c r="F9" s="290">
        <v>1870000</v>
      </c>
      <c r="G9" s="69" t="s">
        <v>18</v>
      </c>
      <c r="H9" s="290">
        <v>1870000</v>
      </c>
      <c r="I9" s="290">
        <v>1870000</v>
      </c>
      <c r="K9" s="67" t="s">
        <v>8</v>
      </c>
      <c r="L9" s="287">
        <f t="shared" si="0"/>
        <v>0</v>
      </c>
    </row>
    <row r="10" spans="1:12" ht="16.5" customHeight="1" x14ac:dyDescent="0.4">
      <c r="B10" s="69"/>
      <c r="C10" s="69"/>
      <c r="D10" s="69"/>
      <c r="E10" s="69">
        <v>12</v>
      </c>
      <c r="F10" s="290">
        <v>1980000</v>
      </c>
      <c r="G10" s="69" t="s">
        <v>25</v>
      </c>
      <c r="H10" s="290">
        <v>1980000</v>
      </c>
      <c r="I10" s="290">
        <v>1980000</v>
      </c>
      <c r="K10" s="67" t="s">
        <v>10</v>
      </c>
      <c r="L10" s="287">
        <f t="shared" si="0"/>
        <v>0</v>
      </c>
    </row>
    <row r="11" spans="1:12" ht="16.5" customHeight="1" x14ac:dyDescent="0.4">
      <c r="B11" s="69"/>
      <c r="C11" s="69"/>
      <c r="D11" s="69"/>
      <c r="E11" s="69">
        <v>12</v>
      </c>
      <c r="F11" s="290">
        <v>2255000</v>
      </c>
      <c r="G11" s="69" t="s">
        <v>2</v>
      </c>
      <c r="H11" s="290">
        <v>2255000</v>
      </c>
      <c r="I11" s="290">
        <v>2255000</v>
      </c>
      <c r="K11" s="67" t="s">
        <v>12</v>
      </c>
      <c r="L11" s="287">
        <f t="shared" si="0"/>
        <v>0</v>
      </c>
    </row>
    <row r="12" spans="1:12" ht="16.5" customHeight="1" x14ac:dyDescent="0.4">
      <c r="B12" s="69"/>
      <c r="C12" s="69"/>
      <c r="D12" s="69"/>
      <c r="E12" s="69">
        <v>12</v>
      </c>
      <c r="F12" s="290">
        <v>3410000</v>
      </c>
      <c r="G12" s="69" t="s">
        <v>18</v>
      </c>
      <c r="H12" s="290">
        <v>3410000</v>
      </c>
      <c r="I12" s="290">
        <v>3410000</v>
      </c>
      <c r="K12" s="67" t="s">
        <v>14</v>
      </c>
      <c r="L12" s="287">
        <f t="shared" si="0"/>
        <v>0</v>
      </c>
    </row>
    <row r="13" spans="1:12" ht="16.5" customHeight="1" x14ac:dyDescent="0.4">
      <c r="B13" s="69"/>
      <c r="C13" s="69"/>
      <c r="D13" s="69"/>
      <c r="E13" s="69">
        <v>12</v>
      </c>
      <c r="F13" s="290">
        <v>4181100</v>
      </c>
      <c r="G13" s="69" t="s">
        <v>18</v>
      </c>
      <c r="H13" s="290">
        <v>4181100</v>
      </c>
      <c r="I13" s="290">
        <v>4181100</v>
      </c>
      <c r="K13" s="67" t="s">
        <v>15</v>
      </c>
      <c r="L13" s="287">
        <f t="shared" si="0"/>
        <v>1133340</v>
      </c>
    </row>
    <row r="14" spans="1:12" ht="16.5" customHeight="1" x14ac:dyDescent="0.4">
      <c r="B14" s="69"/>
      <c r="C14" s="69"/>
      <c r="D14" s="69"/>
      <c r="E14" s="69">
        <v>14</v>
      </c>
      <c r="F14" s="290">
        <v>536800</v>
      </c>
      <c r="G14" s="69" t="s">
        <v>2</v>
      </c>
      <c r="H14" s="290">
        <v>536800</v>
      </c>
      <c r="I14" s="290">
        <v>536800</v>
      </c>
      <c r="K14" s="67" t="s">
        <v>16</v>
      </c>
      <c r="L14" s="287">
        <f t="shared" si="0"/>
        <v>0</v>
      </c>
    </row>
    <row r="15" spans="1:12" ht="16.5" customHeight="1" x14ac:dyDescent="0.4">
      <c r="B15" s="69"/>
      <c r="C15" s="69"/>
      <c r="D15" s="69"/>
      <c r="E15" s="69">
        <v>14</v>
      </c>
      <c r="F15" s="290">
        <v>550000</v>
      </c>
      <c r="G15" s="69" t="s">
        <v>2</v>
      </c>
      <c r="H15" s="290">
        <v>550000</v>
      </c>
      <c r="I15" s="290">
        <v>550000</v>
      </c>
      <c r="K15" s="67" t="s">
        <v>18</v>
      </c>
      <c r="L15" s="287">
        <f t="shared" si="0"/>
        <v>141245835</v>
      </c>
    </row>
    <row r="16" spans="1:12" ht="16.5" customHeight="1" x14ac:dyDescent="0.4">
      <c r="B16" s="69"/>
      <c r="C16" s="69"/>
      <c r="D16" s="69"/>
      <c r="E16" s="69">
        <v>14</v>
      </c>
      <c r="F16" s="290">
        <v>613035</v>
      </c>
      <c r="G16" s="69" t="s">
        <v>18</v>
      </c>
      <c r="H16" s="290">
        <v>613035</v>
      </c>
      <c r="I16" s="290">
        <v>613035</v>
      </c>
      <c r="K16" s="67" t="s">
        <v>20</v>
      </c>
      <c r="L16" s="287">
        <f t="shared" si="0"/>
        <v>0</v>
      </c>
    </row>
    <row r="17" spans="2:12" ht="16.5" customHeight="1" x14ac:dyDescent="0.4">
      <c r="B17" s="69"/>
      <c r="C17" s="69"/>
      <c r="D17" s="69"/>
      <c r="E17" s="69">
        <v>14</v>
      </c>
      <c r="F17" s="290">
        <v>620400</v>
      </c>
      <c r="G17" s="69" t="s">
        <v>4</v>
      </c>
      <c r="H17" s="290">
        <v>620400</v>
      </c>
      <c r="I17" s="290">
        <v>620400</v>
      </c>
      <c r="K17" s="67" t="s">
        <v>22</v>
      </c>
      <c r="L17" s="287">
        <f t="shared" si="0"/>
        <v>0</v>
      </c>
    </row>
    <row r="18" spans="2:12" ht="16.5" customHeight="1" x14ac:dyDescent="0.4">
      <c r="B18" s="69"/>
      <c r="C18" s="69"/>
      <c r="D18" s="69"/>
      <c r="E18" s="69">
        <v>14</v>
      </c>
      <c r="F18" s="290">
        <v>843700</v>
      </c>
      <c r="G18" s="69" t="s">
        <v>4</v>
      </c>
      <c r="H18" s="290">
        <v>843700</v>
      </c>
      <c r="I18" s="290">
        <v>843700</v>
      </c>
      <c r="K18" s="67" t="s">
        <v>23</v>
      </c>
      <c r="L18" s="287">
        <f t="shared" si="0"/>
        <v>992200</v>
      </c>
    </row>
    <row r="19" spans="2:12" ht="16.5" customHeight="1" x14ac:dyDescent="0.4">
      <c r="B19" s="69"/>
      <c r="C19" s="69"/>
      <c r="D19" s="69"/>
      <c r="E19" s="69">
        <v>14</v>
      </c>
      <c r="F19" s="290">
        <v>935000</v>
      </c>
      <c r="G19" s="69" t="s">
        <v>4</v>
      </c>
      <c r="H19" s="290">
        <v>935000</v>
      </c>
      <c r="I19" s="290">
        <v>935000</v>
      </c>
      <c r="K19" s="67" t="s">
        <v>25</v>
      </c>
      <c r="L19" s="287">
        <f t="shared" si="0"/>
        <v>1980000</v>
      </c>
    </row>
    <row r="20" spans="2:12" ht="16.5" customHeight="1" x14ac:dyDescent="0.4">
      <c r="B20" s="69"/>
      <c r="C20" s="69"/>
      <c r="D20" s="69"/>
      <c r="E20" s="69">
        <v>14</v>
      </c>
      <c r="F20" s="290">
        <v>968000</v>
      </c>
      <c r="G20" s="69" t="s">
        <v>18</v>
      </c>
      <c r="H20" s="290">
        <v>968000</v>
      </c>
      <c r="I20" s="290">
        <v>968000</v>
      </c>
      <c r="K20" s="67" t="s">
        <v>26</v>
      </c>
      <c r="L20" s="287">
        <f t="shared" si="0"/>
        <v>0</v>
      </c>
    </row>
    <row r="21" spans="2:12" ht="16.5" customHeight="1" x14ac:dyDescent="0.4">
      <c r="B21" s="69"/>
      <c r="C21" s="69"/>
      <c r="D21" s="69"/>
      <c r="E21" s="69">
        <v>14</v>
      </c>
      <c r="F21" s="290">
        <v>977955</v>
      </c>
      <c r="G21" s="69" t="s">
        <v>4</v>
      </c>
      <c r="H21" s="290">
        <v>977955</v>
      </c>
      <c r="I21" s="290">
        <v>977955</v>
      </c>
      <c r="K21" s="67" t="s">
        <v>61</v>
      </c>
      <c r="L21" s="287">
        <f t="shared" si="0"/>
        <v>0</v>
      </c>
    </row>
    <row r="22" spans="2:12" ht="16.5" customHeight="1" x14ac:dyDescent="0.4">
      <c r="B22" s="69"/>
      <c r="C22" s="69"/>
      <c r="D22" s="69"/>
      <c r="E22" s="69">
        <v>14</v>
      </c>
      <c r="F22" s="290">
        <v>992200</v>
      </c>
      <c r="G22" s="69" t="s">
        <v>23</v>
      </c>
      <c r="H22" s="290">
        <v>992200</v>
      </c>
      <c r="I22" s="290">
        <v>992200</v>
      </c>
      <c r="K22" s="67" t="s">
        <v>62</v>
      </c>
      <c r="L22" s="287">
        <f t="shared" si="0"/>
        <v>0</v>
      </c>
    </row>
    <row r="23" spans="2:12" ht="16.5" customHeight="1" thickBot="1" x14ac:dyDescent="0.45">
      <c r="B23" s="69"/>
      <c r="C23" s="69"/>
      <c r="D23" s="69"/>
      <c r="E23" s="69">
        <v>14</v>
      </c>
      <c r="F23" s="290">
        <v>1118700</v>
      </c>
      <c r="G23" s="69" t="s">
        <v>4</v>
      </c>
      <c r="H23" s="290">
        <v>1118700</v>
      </c>
      <c r="I23" s="290">
        <v>1118700</v>
      </c>
      <c r="K23" s="291" t="s">
        <v>71</v>
      </c>
      <c r="L23" s="292">
        <f t="shared" si="0"/>
        <v>0</v>
      </c>
    </row>
    <row r="24" spans="2:12" ht="16.5" customHeight="1" thickTop="1" x14ac:dyDescent="0.4">
      <c r="B24" s="69"/>
      <c r="C24" s="69"/>
      <c r="D24" s="69"/>
      <c r="E24" s="69">
        <v>14</v>
      </c>
      <c r="F24" s="290">
        <v>1133000</v>
      </c>
      <c r="G24" s="69" t="s">
        <v>18</v>
      </c>
      <c r="H24" s="290">
        <v>1133000</v>
      </c>
      <c r="I24" s="290">
        <v>1133000</v>
      </c>
      <c r="K24" s="283" t="s">
        <v>226</v>
      </c>
      <c r="L24" s="285">
        <f>SUM(L5:L23)</f>
        <v>283676346</v>
      </c>
    </row>
    <row r="25" spans="2:12" ht="16.5" customHeight="1" x14ac:dyDescent="0.4">
      <c r="B25" s="69"/>
      <c r="C25" s="69"/>
      <c r="D25" s="69"/>
      <c r="E25" s="69">
        <v>14</v>
      </c>
      <c r="F25" s="290">
        <v>1210000</v>
      </c>
      <c r="G25" s="69" t="s">
        <v>18</v>
      </c>
      <c r="H25" s="290">
        <v>1210000</v>
      </c>
      <c r="I25" s="290">
        <v>1210000</v>
      </c>
      <c r="K25" s="76" t="s">
        <v>229</v>
      </c>
      <c r="L25" s="293">
        <f>H66-L24</f>
        <v>0</v>
      </c>
    </row>
    <row r="26" spans="2:12" ht="16.5" customHeight="1" x14ac:dyDescent="0.4">
      <c r="B26" s="69"/>
      <c r="C26" s="69"/>
      <c r="D26" s="69"/>
      <c r="E26" s="69">
        <v>14</v>
      </c>
      <c r="F26" s="290">
        <v>1210000</v>
      </c>
      <c r="G26" s="69" t="s">
        <v>18</v>
      </c>
      <c r="H26" s="290">
        <v>1210000</v>
      </c>
      <c r="I26" s="290">
        <v>1210000</v>
      </c>
    </row>
    <row r="27" spans="2:12" ht="16.5" customHeight="1" x14ac:dyDescent="0.4">
      <c r="B27" s="69"/>
      <c r="C27" s="69"/>
      <c r="D27" s="69"/>
      <c r="E27" s="69">
        <v>14</v>
      </c>
      <c r="F27" s="290">
        <v>1210000</v>
      </c>
      <c r="G27" s="69" t="s">
        <v>18</v>
      </c>
      <c r="H27" s="290">
        <v>1210000</v>
      </c>
      <c r="I27" s="290">
        <v>1210000</v>
      </c>
    </row>
    <row r="28" spans="2:12" ht="16.5" customHeight="1" x14ac:dyDescent="0.4">
      <c r="B28" s="69"/>
      <c r="C28" s="69"/>
      <c r="D28" s="69"/>
      <c r="E28" s="69">
        <v>14</v>
      </c>
      <c r="F28" s="290">
        <v>1232000</v>
      </c>
      <c r="G28" s="69" t="s">
        <v>18</v>
      </c>
      <c r="H28" s="290">
        <v>1232000</v>
      </c>
      <c r="I28" s="290">
        <v>1232000</v>
      </c>
    </row>
    <row r="29" spans="2:12" ht="16.5" customHeight="1" x14ac:dyDescent="0.4">
      <c r="B29" s="69"/>
      <c r="C29" s="69"/>
      <c r="D29" s="69"/>
      <c r="E29" s="69">
        <v>14</v>
      </c>
      <c r="F29" s="290">
        <v>1263900</v>
      </c>
      <c r="G29" s="69" t="s">
        <v>4</v>
      </c>
      <c r="H29" s="290">
        <v>1263900</v>
      </c>
      <c r="I29" s="290">
        <v>1263900</v>
      </c>
    </row>
    <row r="30" spans="2:12" ht="16.5" customHeight="1" x14ac:dyDescent="0.4">
      <c r="B30" s="69"/>
      <c r="C30" s="69"/>
      <c r="D30" s="69"/>
      <c r="E30" s="69">
        <v>14</v>
      </c>
      <c r="F30" s="290">
        <v>1265000</v>
      </c>
      <c r="G30" s="69" t="s">
        <v>18</v>
      </c>
      <c r="H30" s="290">
        <v>1265000</v>
      </c>
      <c r="I30" s="290">
        <v>1265000</v>
      </c>
    </row>
    <row r="31" spans="2:12" ht="16.5" customHeight="1" x14ac:dyDescent="0.4">
      <c r="B31" s="69"/>
      <c r="C31" s="69"/>
      <c r="D31" s="69"/>
      <c r="E31" s="69">
        <v>14</v>
      </c>
      <c r="F31" s="290">
        <v>1273800</v>
      </c>
      <c r="G31" s="69" t="s">
        <v>4</v>
      </c>
      <c r="H31" s="290">
        <v>1273800</v>
      </c>
      <c r="I31" s="290">
        <v>1273800</v>
      </c>
    </row>
    <row r="32" spans="2:12" ht="16.5" customHeight="1" x14ac:dyDescent="0.4">
      <c r="B32" s="69"/>
      <c r="C32" s="69"/>
      <c r="D32" s="69"/>
      <c r="E32" s="69">
        <v>14</v>
      </c>
      <c r="F32" s="290">
        <v>1397000</v>
      </c>
      <c r="G32" s="69" t="s">
        <v>18</v>
      </c>
      <c r="H32" s="290">
        <v>1397000</v>
      </c>
      <c r="I32" s="290">
        <v>1397000</v>
      </c>
    </row>
    <row r="33" spans="2:9" ht="16.5" customHeight="1" x14ac:dyDescent="0.4">
      <c r="B33" s="69"/>
      <c r="C33" s="69"/>
      <c r="D33" s="69"/>
      <c r="E33" s="69">
        <v>14</v>
      </c>
      <c r="F33" s="290">
        <v>1859000</v>
      </c>
      <c r="G33" s="69" t="s">
        <v>18</v>
      </c>
      <c r="H33" s="290">
        <v>1859000</v>
      </c>
      <c r="I33" s="290">
        <v>1859000</v>
      </c>
    </row>
    <row r="34" spans="2:9" ht="16.5" customHeight="1" x14ac:dyDescent="0.4">
      <c r="B34" s="69"/>
      <c r="C34" s="69"/>
      <c r="D34" s="69"/>
      <c r="E34" s="69">
        <v>14</v>
      </c>
      <c r="F34" s="290">
        <v>3628900</v>
      </c>
      <c r="G34" s="69" t="s">
        <v>18</v>
      </c>
      <c r="H34" s="290">
        <v>3628900</v>
      </c>
      <c r="I34" s="290">
        <v>3628900</v>
      </c>
    </row>
    <row r="35" spans="2:9" ht="16.5" customHeight="1" x14ac:dyDescent="0.4">
      <c r="B35" s="69"/>
      <c r="C35" s="69"/>
      <c r="D35" s="69"/>
      <c r="E35" s="69">
        <v>14</v>
      </c>
      <c r="F35" s="290">
        <v>4000000</v>
      </c>
      <c r="G35" s="69" t="s">
        <v>4</v>
      </c>
      <c r="H35" s="290">
        <v>4000000</v>
      </c>
      <c r="I35" s="290">
        <v>4000000</v>
      </c>
    </row>
    <row r="36" spans="2:9" ht="16.5" customHeight="1" x14ac:dyDescent="0.4">
      <c r="B36" s="69"/>
      <c r="C36" s="69"/>
      <c r="D36" s="69"/>
      <c r="E36" s="69">
        <v>14</v>
      </c>
      <c r="F36" s="290">
        <v>4125000</v>
      </c>
      <c r="G36" s="69" t="s">
        <v>18</v>
      </c>
      <c r="H36" s="290">
        <v>4125000</v>
      </c>
      <c r="I36" s="290">
        <v>4125000</v>
      </c>
    </row>
    <row r="37" spans="2:9" ht="16.5" customHeight="1" x14ac:dyDescent="0.4">
      <c r="B37" s="69"/>
      <c r="C37" s="69"/>
      <c r="D37" s="69"/>
      <c r="E37" s="69">
        <v>14</v>
      </c>
      <c r="F37" s="290">
        <v>4246000</v>
      </c>
      <c r="G37" s="69" t="s">
        <v>18</v>
      </c>
      <c r="H37" s="290">
        <v>4246000</v>
      </c>
      <c r="I37" s="290">
        <v>4246000</v>
      </c>
    </row>
    <row r="38" spans="2:9" ht="16.5" customHeight="1" x14ac:dyDescent="0.4">
      <c r="B38" s="69"/>
      <c r="C38" s="69"/>
      <c r="D38" s="69"/>
      <c r="E38" s="69">
        <v>14</v>
      </c>
      <c r="F38" s="290">
        <v>4400000</v>
      </c>
      <c r="G38" s="69" t="s">
        <v>18</v>
      </c>
      <c r="H38" s="290">
        <v>4400000</v>
      </c>
      <c r="I38" s="290">
        <v>4400000</v>
      </c>
    </row>
    <row r="39" spans="2:9" ht="16.5" customHeight="1" x14ac:dyDescent="0.4">
      <c r="B39" s="69"/>
      <c r="C39" s="69"/>
      <c r="D39" s="69"/>
      <c r="E39" s="69">
        <v>14</v>
      </c>
      <c r="F39" s="290">
        <v>4400000</v>
      </c>
      <c r="G39" s="69" t="s">
        <v>18</v>
      </c>
      <c r="H39" s="290">
        <v>4400000</v>
      </c>
      <c r="I39" s="290">
        <v>4400000</v>
      </c>
    </row>
    <row r="40" spans="2:9" ht="16.5" customHeight="1" x14ac:dyDescent="0.4">
      <c r="B40" s="69"/>
      <c r="C40" s="69"/>
      <c r="D40" s="69"/>
      <c r="E40" s="69">
        <v>14</v>
      </c>
      <c r="F40" s="290">
        <v>4500000</v>
      </c>
      <c r="G40" s="69" t="s">
        <v>18</v>
      </c>
      <c r="H40" s="290">
        <v>4500000</v>
      </c>
      <c r="I40" s="290">
        <v>4500000</v>
      </c>
    </row>
    <row r="41" spans="2:9" ht="16.5" customHeight="1" x14ac:dyDescent="0.4">
      <c r="B41" s="69"/>
      <c r="C41" s="69"/>
      <c r="D41" s="69"/>
      <c r="E41" s="69">
        <v>14</v>
      </c>
      <c r="F41" s="290">
        <v>4783900</v>
      </c>
      <c r="G41" s="69" t="s">
        <v>18</v>
      </c>
      <c r="H41" s="290">
        <v>4783900</v>
      </c>
      <c r="I41" s="290">
        <v>4783900</v>
      </c>
    </row>
    <row r="42" spans="2:9" ht="16.5" customHeight="1" x14ac:dyDescent="0.4">
      <c r="B42" s="69"/>
      <c r="C42" s="69"/>
      <c r="D42" s="69"/>
      <c r="E42" s="69">
        <v>14</v>
      </c>
      <c r="F42" s="290">
        <v>4829000</v>
      </c>
      <c r="G42" s="69" t="s">
        <v>18</v>
      </c>
      <c r="H42" s="290">
        <v>4829000</v>
      </c>
      <c r="I42" s="290">
        <v>4829000</v>
      </c>
    </row>
    <row r="43" spans="2:9" ht="16.5" customHeight="1" x14ac:dyDescent="0.4">
      <c r="B43" s="69"/>
      <c r="C43" s="69"/>
      <c r="D43" s="69"/>
      <c r="E43" s="69">
        <v>14</v>
      </c>
      <c r="F43" s="290">
        <v>4950000</v>
      </c>
      <c r="G43" s="69" t="s">
        <v>18</v>
      </c>
      <c r="H43" s="290">
        <v>4950000</v>
      </c>
      <c r="I43" s="290">
        <v>4950000</v>
      </c>
    </row>
    <row r="44" spans="2:9" ht="16.5" customHeight="1" x14ac:dyDescent="0.4">
      <c r="B44" s="69"/>
      <c r="C44" s="69"/>
      <c r="D44" s="69"/>
      <c r="E44" s="69">
        <v>14</v>
      </c>
      <c r="F44" s="290">
        <v>5063300</v>
      </c>
      <c r="G44" s="69" t="s">
        <v>18</v>
      </c>
      <c r="H44" s="290">
        <v>5063300</v>
      </c>
      <c r="I44" s="290">
        <v>5063300</v>
      </c>
    </row>
    <row r="45" spans="2:9" ht="16.5" customHeight="1" x14ac:dyDescent="0.4">
      <c r="B45" s="69"/>
      <c r="C45" s="69"/>
      <c r="D45" s="69"/>
      <c r="E45" s="69">
        <v>14</v>
      </c>
      <c r="F45" s="290">
        <v>5289816</v>
      </c>
      <c r="G45" s="69" t="s">
        <v>0</v>
      </c>
      <c r="H45" s="290">
        <v>5289816</v>
      </c>
      <c r="I45" s="290">
        <v>5289816</v>
      </c>
    </row>
    <row r="46" spans="2:9" ht="16.5" customHeight="1" x14ac:dyDescent="0.4">
      <c r="B46" s="69"/>
      <c r="C46" s="69"/>
      <c r="D46" s="69"/>
      <c r="E46" s="69">
        <v>14</v>
      </c>
      <c r="F46" s="290">
        <v>5370000</v>
      </c>
      <c r="G46" s="69" t="s">
        <v>18</v>
      </c>
      <c r="H46" s="290">
        <v>5370000</v>
      </c>
      <c r="I46" s="290">
        <v>5370000</v>
      </c>
    </row>
    <row r="47" spans="2:9" ht="16.5" customHeight="1" x14ac:dyDescent="0.4">
      <c r="B47" s="69"/>
      <c r="C47" s="69"/>
      <c r="D47" s="69"/>
      <c r="E47" s="69">
        <v>14</v>
      </c>
      <c r="F47" s="290">
        <v>5680000</v>
      </c>
      <c r="G47" s="69" t="s">
        <v>18</v>
      </c>
      <c r="H47" s="290">
        <v>5680000</v>
      </c>
      <c r="I47" s="290">
        <v>5680000</v>
      </c>
    </row>
    <row r="48" spans="2:9" ht="16.5" customHeight="1" x14ac:dyDescent="0.4">
      <c r="B48" s="69"/>
      <c r="C48" s="69"/>
      <c r="D48" s="69"/>
      <c r="E48" s="69">
        <v>14</v>
      </c>
      <c r="F48" s="290">
        <v>5963100</v>
      </c>
      <c r="G48" s="69" t="s">
        <v>18</v>
      </c>
      <c r="H48" s="290">
        <v>5963100</v>
      </c>
      <c r="I48" s="290">
        <v>5963100</v>
      </c>
    </row>
    <row r="49" spans="2:9" ht="16.5" customHeight="1" x14ac:dyDescent="0.4">
      <c r="B49" s="69"/>
      <c r="C49" s="69"/>
      <c r="D49" s="69"/>
      <c r="E49" s="69">
        <v>14</v>
      </c>
      <c r="F49" s="290">
        <v>6120000</v>
      </c>
      <c r="G49" s="69" t="s">
        <v>4</v>
      </c>
      <c r="H49" s="290">
        <v>6120000</v>
      </c>
      <c r="I49" s="290">
        <v>6120000</v>
      </c>
    </row>
    <row r="50" spans="2:9" ht="16.5" customHeight="1" x14ac:dyDescent="0.4">
      <c r="B50" s="69"/>
      <c r="C50" s="69"/>
      <c r="D50" s="69"/>
      <c r="E50" s="69">
        <v>14</v>
      </c>
      <c r="F50" s="290">
        <v>6600000</v>
      </c>
      <c r="G50" s="69" t="s">
        <v>18</v>
      </c>
      <c r="H50" s="290">
        <v>6600000</v>
      </c>
      <c r="I50" s="290">
        <v>6600000</v>
      </c>
    </row>
    <row r="51" spans="2:9" ht="16.5" customHeight="1" x14ac:dyDescent="0.4">
      <c r="B51" s="69"/>
      <c r="C51" s="69"/>
      <c r="D51" s="69"/>
      <c r="E51" s="69">
        <v>14</v>
      </c>
      <c r="F51" s="290">
        <v>6600000</v>
      </c>
      <c r="G51" s="69" t="s">
        <v>18</v>
      </c>
      <c r="H51" s="290">
        <v>6600000</v>
      </c>
      <c r="I51" s="290">
        <v>6600000</v>
      </c>
    </row>
    <row r="52" spans="2:9" ht="16.5" customHeight="1" x14ac:dyDescent="0.4">
      <c r="B52" s="69"/>
      <c r="C52" s="69"/>
      <c r="D52" s="69"/>
      <c r="E52" s="69">
        <v>14</v>
      </c>
      <c r="F52" s="290">
        <v>6719900</v>
      </c>
      <c r="G52" s="69" t="s">
        <v>18</v>
      </c>
      <c r="H52" s="290">
        <v>6719900</v>
      </c>
      <c r="I52" s="290">
        <v>6719900</v>
      </c>
    </row>
    <row r="53" spans="2:9" ht="16.5" customHeight="1" x14ac:dyDescent="0.4">
      <c r="B53" s="69"/>
      <c r="C53" s="69"/>
      <c r="D53" s="69"/>
      <c r="E53" s="69">
        <v>14</v>
      </c>
      <c r="F53" s="290">
        <v>8133400</v>
      </c>
      <c r="G53" s="69" t="s">
        <v>18</v>
      </c>
      <c r="H53" s="290">
        <v>8133400</v>
      </c>
      <c r="I53" s="290">
        <v>8133400</v>
      </c>
    </row>
    <row r="54" spans="2:9" ht="16.5" customHeight="1" x14ac:dyDescent="0.4">
      <c r="B54" s="69"/>
      <c r="C54" s="69"/>
      <c r="D54" s="69"/>
      <c r="E54" s="69">
        <v>14</v>
      </c>
      <c r="F54" s="290">
        <v>8449200</v>
      </c>
      <c r="G54" s="69" t="s">
        <v>18</v>
      </c>
      <c r="H54" s="290">
        <v>8449200</v>
      </c>
      <c r="I54" s="290">
        <v>8449200</v>
      </c>
    </row>
    <row r="55" spans="2:9" ht="16.5" customHeight="1" x14ac:dyDescent="0.4">
      <c r="B55" s="69"/>
      <c r="C55" s="69"/>
      <c r="D55" s="69"/>
      <c r="E55" s="69">
        <v>14</v>
      </c>
      <c r="F55" s="290">
        <v>8765000</v>
      </c>
      <c r="G55" s="69" t="s">
        <v>18</v>
      </c>
      <c r="H55" s="290">
        <v>8765000</v>
      </c>
      <c r="I55" s="290">
        <v>8765000</v>
      </c>
    </row>
    <row r="56" spans="2:9" ht="16.5" customHeight="1" x14ac:dyDescent="0.4">
      <c r="B56" s="69"/>
      <c r="C56" s="69"/>
      <c r="D56" s="69"/>
      <c r="E56" s="69">
        <v>14</v>
      </c>
      <c r="F56" s="290">
        <v>9093000</v>
      </c>
      <c r="G56" s="69" t="s">
        <v>18</v>
      </c>
      <c r="H56" s="290">
        <v>9093000</v>
      </c>
      <c r="I56" s="290">
        <v>9093000</v>
      </c>
    </row>
    <row r="57" spans="2:9" ht="16.5" customHeight="1" x14ac:dyDescent="0.4">
      <c r="B57" s="69"/>
      <c r="C57" s="69"/>
      <c r="D57" s="69"/>
      <c r="E57" s="69">
        <v>14</v>
      </c>
      <c r="F57" s="290">
        <v>41600000</v>
      </c>
      <c r="G57" s="69" t="s">
        <v>2</v>
      </c>
      <c r="H57" s="290">
        <v>41600000</v>
      </c>
      <c r="I57" s="290">
        <v>41600000</v>
      </c>
    </row>
    <row r="58" spans="2:9" ht="16.5" customHeight="1" x14ac:dyDescent="0.4">
      <c r="B58" s="69"/>
      <c r="C58" s="69"/>
      <c r="D58" s="69"/>
      <c r="E58" s="69">
        <v>14</v>
      </c>
      <c r="F58" s="290">
        <v>68431900</v>
      </c>
      <c r="G58" s="69" t="s">
        <v>2</v>
      </c>
      <c r="H58" s="290">
        <v>68431900</v>
      </c>
      <c r="I58" s="290">
        <v>68431900</v>
      </c>
    </row>
    <row r="59" spans="2:9" ht="16.5" customHeight="1" x14ac:dyDescent="0.4">
      <c r="B59" s="69"/>
      <c r="C59" s="69"/>
      <c r="D59" s="69"/>
      <c r="E59" s="69">
        <v>16</v>
      </c>
      <c r="F59" s="290">
        <v>613035</v>
      </c>
      <c r="G59" s="69" t="s">
        <v>15</v>
      </c>
      <c r="H59" s="290">
        <v>613035</v>
      </c>
      <c r="I59" s="290">
        <v>613035</v>
      </c>
    </row>
    <row r="60" spans="2:9" ht="16.5" customHeight="1" x14ac:dyDescent="0.4">
      <c r="B60" s="69"/>
      <c r="C60" s="69"/>
      <c r="D60" s="69"/>
      <c r="E60" s="69">
        <v>17</v>
      </c>
      <c r="F60" s="290">
        <v>1078000</v>
      </c>
      <c r="G60" s="69" t="s">
        <v>4</v>
      </c>
      <c r="H60" s="290">
        <v>1078000</v>
      </c>
      <c r="I60" s="290">
        <v>1078000</v>
      </c>
    </row>
    <row r="61" spans="2:9" ht="16.5" customHeight="1" x14ac:dyDescent="0.4">
      <c r="B61" s="69"/>
      <c r="C61" s="69"/>
      <c r="D61" s="69"/>
      <c r="E61" s="69">
        <v>16</v>
      </c>
      <c r="F61" s="290">
        <v>430693</v>
      </c>
      <c r="G61" s="69" t="s">
        <v>15</v>
      </c>
      <c r="H61" s="290">
        <v>430693</v>
      </c>
      <c r="I61" s="290">
        <v>35242</v>
      </c>
    </row>
    <row r="62" spans="2:9" ht="16.5" customHeight="1" x14ac:dyDescent="0.4">
      <c r="B62" s="69"/>
      <c r="C62" s="69"/>
      <c r="D62" s="69"/>
      <c r="E62" s="69">
        <v>16</v>
      </c>
      <c r="F62" s="290">
        <v>89612</v>
      </c>
      <c r="G62" s="69" t="s">
        <v>15</v>
      </c>
      <c r="H62" s="290">
        <v>89612</v>
      </c>
      <c r="I62" s="290">
        <v>395451</v>
      </c>
    </row>
    <row r="63" spans="2:9" ht="16.5" customHeight="1" x14ac:dyDescent="0.4">
      <c r="B63" s="65"/>
      <c r="C63" s="65"/>
      <c r="D63" s="65"/>
      <c r="E63" s="65"/>
      <c r="F63" s="286"/>
      <c r="G63" s="69"/>
      <c r="H63" s="286"/>
      <c r="I63" s="65"/>
    </row>
    <row r="64" spans="2:9" ht="16.5" customHeight="1" x14ac:dyDescent="0.4">
      <c r="B64" s="65"/>
      <c r="C64" s="65"/>
      <c r="D64" s="65"/>
      <c r="E64" s="65"/>
      <c r="F64" s="286"/>
      <c r="G64" s="69"/>
      <c r="H64" s="286"/>
      <c r="I64" s="65"/>
    </row>
    <row r="65" spans="2:9" ht="16.5" customHeight="1" thickBot="1" x14ac:dyDescent="0.45">
      <c r="B65" s="65"/>
      <c r="C65" s="65"/>
      <c r="D65" s="65"/>
      <c r="E65" s="65"/>
      <c r="F65" s="286"/>
      <c r="G65" s="69"/>
      <c r="H65" s="286"/>
      <c r="I65" s="65"/>
    </row>
    <row r="66" spans="2:9" ht="16.5" customHeight="1" thickTop="1" x14ac:dyDescent="0.4">
      <c r="B66" s="283"/>
      <c r="C66" s="283"/>
      <c r="D66" s="283"/>
      <c r="E66" s="283" t="s">
        <v>226</v>
      </c>
      <c r="F66" s="285">
        <f>SUM(F5:F65)</f>
        <v>283676346</v>
      </c>
      <c r="G66" s="283"/>
      <c r="H66" s="285">
        <f>SUM(H5:H65)</f>
        <v>283676346</v>
      </c>
      <c r="I66" s="283"/>
    </row>
    <row r="67" spans="2:9" ht="16.5" customHeight="1" x14ac:dyDescent="0.4">
      <c r="E67" s="25" t="s">
        <v>229</v>
      </c>
      <c r="F67" s="284">
        <f>F66-SUMIF(歳出!H:H,"BS資産形成",歳出!J:J)</f>
        <v>0</v>
      </c>
      <c r="G67" s="25" t="s">
        <v>229</v>
      </c>
      <c r="H67" s="284">
        <f>F66-H66</f>
        <v>0</v>
      </c>
    </row>
    <row r="68" spans="2:9" ht="16.5" customHeight="1" x14ac:dyDescent="0.4"/>
    <row r="69" spans="2:9" ht="16.5" customHeight="1" x14ac:dyDescent="0.4">
      <c r="F69" s="329"/>
    </row>
    <row r="70" spans="2:9" ht="16.5" customHeight="1" x14ac:dyDescent="0.4"/>
    <row r="71" spans="2:9" ht="16.5" customHeight="1" x14ac:dyDescent="0.4"/>
    <row r="72" spans="2:9" ht="16.5" customHeight="1" x14ac:dyDescent="0.4"/>
  </sheetData>
  <autoFilter ref="B4:I4" xr:uid="{C9D121AB-FD30-414E-A746-801CE168D10E}">
    <sortState xmlns:xlrd2="http://schemas.microsoft.com/office/spreadsheetml/2017/richdata2" ref="B5:I62">
      <sortCondition ref="E4"/>
    </sortState>
  </autoFilter>
  <phoneticPr fontId="1"/>
  <dataValidations count="1">
    <dataValidation type="list" allowBlank="1" showInputMessage="1" showErrorMessage="1" sqref="G5:G65" xr:uid="{6E225F14-5AE9-473F-8E05-723D30009747}">
      <formula1>集計表_勘定科目</formula1>
    </dataValidation>
  </dataValidation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E40B-F83E-4C94-8133-D9A03040CD60}">
  <sheetPr>
    <tabColor rgb="FF66CCFF"/>
    <pageSetUpPr fitToPage="1"/>
  </sheetPr>
  <dimension ref="A1:H43"/>
  <sheetViews>
    <sheetView workbookViewId="0">
      <selection activeCell="J31" sqref="J31"/>
    </sheetView>
  </sheetViews>
  <sheetFormatPr defaultRowHeight="17.100000000000001" customHeight="1" x14ac:dyDescent="0.4"/>
  <cols>
    <col min="1" max="1" width="2.125" customWidth="1"/>
    <col min="2" max="2" width="25.625" customWidth="1"/>
    <col min="3" max="5" width="20.625" customWidth="1"/>
    <col min="6" max="6" width="30.625" customWidth="1"/>
    <col min="8" max="8" width="12.625" bestFit="1" customWidth="1"/>
    <col min="257" max="257" width="2.375" customWidth="1"/>
    <col min="258" max="258" width="23.5" bestFit="1" customWidth="1"/>
    <col min="259" max="261" width="17.125" customWidth="1"/>
    <col min="262" max="262" width="37.25" customWidth="1"/>
    <col min="513" max="513" width="2.375" customWidth="1"/>
    <col min="514" max="514" width="23.5" bestFit="1" customWidth="1"/>
    <col min="515" max="517" width="17.125" customWidth="1"/>
    <col min="518" max="518" width="37.25" customWidth="1"/>
    <col min="769" max="769" width="2.375" customWidth="1"/>
    <col min="770" max="770" width="23.5" bestFit="1" customWidth="1"/>
    <col min="771" max="773" width="17.125" customWidth="1"/>
    <col min="774" max="774" width="37.25" customWidth="1"/>
    <col min="1025" max="1025" width="2.375" customWidth="1"/>
    <col min="1026" max="1026" width="23.5" bestFit="1" customWidth="1"/>
    <col min="1027" max="1029" width="17.125" customWidth="1"/>
    <col min="1030" max="1030" width="37.25" customWidth="1"/>
    <col min="1281" max="1281" width="2.375" customWidth="1"/>
    <col min="1282" max="1282" width="23.5" bestFit="1" customWidth="1"/>
    <col min="1283" max="1285" width="17.125" customWidth="1"/>
    <col min="1286" max="1286" width="37.25" customWidth="1"/>
    <col min="1537" max="1537" width="2.375" customWidth="1"/>
    <col min="1538" max="1538" width="23.5" bestFit="1" customWidth="1"/>
    <col min="1539" max="1541" width="17.125" customWidth="1"/>
    <col min="1542" max="1542" width="37.25" customWidth="1"/>
    <col min="1793" max="1793" width="2.375" customWidth="1"/>
    <col min="1794" max="1794" width="23.5" bestFit="1" customWidth="1"/>
    <col min="1795" max="1797" width="17.125" customWidth="1"/>
    <col min="1798" max="1798" width="37.25" customWidth="1"/>
    <col min="2049" max="2049" width="2.375" customWidth="1"/>
    <col min="2050" max="2050" width="23.5" bestFit="1" customWidth="1"/>
    <col min="2051" max="2053" width="17.125" customWidth="1"/>
    <col min="2054" max="2054" width="37.25" customWidth="1"/>
    <col min="2305" max="2305" width="2.375" customWidth="1"/>
    <col min="2306" max="2306" width="23.5" bestFit="1" customWidth="1"/>
    <col min="2307" max="2309" width="17.125" customWidth="1"/>
    <col min="2310" max="2310" width="37.25" customWidth="1"/>
    <col min="2561" max="2561" width="2.375" customWidth="1"/>
    <col min="2562" max="2562" width="23.5" bestFit="1" customWidth="1"/>
    <col min="2563" max="2565" width="17.125" customWidth="1"/>
    <col min="2566" max="2566" width="37.25" customWidth="1"/>
    <col min="2817" max="2817" width="2.375" customWidth="1"/>
    <col min="2818" max="2818" width="23.5" bestFit="1" customWidth="1"/>
    <col min="2819" max="2821" width="17.125" customWidth="1"/>
    <col min="2822" max="2822" width="37.25" customWidth="1"/>
    <col min="3073" max="3073" width="2.375" customWidth="1"/>
    <col min="3074" max="3074" width="23.5" bestFit="1" customWidth="1"/>
    <col min="3075" max="3077" width="17.125" customWidth="1"/>
    <col min="3078" max="3078" width="37.25" customWidth="1"/>
    <col min="3329" max="3329" width="2.375" customWidth="1"/>
    <col min="3330" max="3330" width="23.5" bestFit="1" customWidth="1"/>
    <col min="3331" max="3333" width="17.125" customWidth="1"/>
    <col min="3334" max="3334" width="37.25" customWidth="1"/>
    <col min="3585" max="3585" width="2.375" customWidth="1"/>
    <col min="3586" max="3586" width="23.5" bestFit="1" customWidth="1"/>
    <col min="3587" max="3589" width="17.125" customWidth="1"/>
    <col min="3590" max="3590" width="37.25" customWidth="1"/>
    <col min="3841" max="3841" width="2.375" customWidth="1"/>
    <col min="3842" max="3842" width="23.5" bestFit="1" customWidth="1"/>
    <col min="3843" max="3845" width="17.125" customWidth="1"/>
    <col min="3846" max="3846" width="37.25" customWidth="1"/>
    <col min="4097" max="4097" width="2.375" customWidth="1"/>
    <col min="4098" max="4098" width="23.5" bestFit="1" customWidth="1"/>
    <col min="4099" max="4101" width="17.125" customWidth="1"/>
    <col min="4102" max="4102" width="37.25" customWidth="1"/>
    <col min="4353" max="4353" width="2.375" customWidth="1"/>
    <col min="4354" max="4354" width="23.5" bestFit="1" customWidth="1"/>
    <col min="4355" max="4357" width="17.125" customWidth="1"/>
    <col min="4358" max="4358" width="37.25" customWidth="1"/>
    <col min="4609" max="4609" width="2.375" customWidth="1"/>
    <col min="4610" max="4610" width="23.5" bestFit="1" customWidth="1"/>
    <col min="4611" max="4613" width="17.125" customWidth="1"/>
    <col min="4614" max="4614" width="37.25" customWidth="1"/>
    <col min="4865" max="4865" width="2.375" customWidth="1"/>
    <col min="4866" max="4866" width="23.5" bestFit="1" customWidth="1"/>
    <col min="4867" max="4869" width="17.125" customWidth="1"/>
    <col min="4870" max="4870" width="37.25" customWidth="1"/>
    <col min="5121" max="5121" width="2.375" customWidth="1"/>
    <col min="5122" max="5122" width="23.5" bestFit="1" customWidth="1"/>
    <col min="5123" max="5125" width="17.125" customWidth="1"/>
    <col min="5126" max="5126" width="37.25" customWidth="1"/>
    <col min="5377" max="5377" width="2.375" customWidth="1"/>
    <col min="5378" max="5378" width="23.5" bestFit="1" customWidth="1"/>
    <col min="5379" max="5381" width="17.125" customWidth="1"/>
    <col min="5382" max="5382" width="37.25" customWidth="1"/>
    <col min="5633" max="5633" width="2.375" customWidth="1"/>
    <col min="5634" max="5634" width="23.5" bestFit="1" customWidth="1"/>
    <col min="5635" max="5637" width="17.125" customWidth="1"/>
    <col min="5638" max="5638" width="37.25" customWidth="1"/>
    <col min="5889" max="5889" width="2.375" customWidth="1"/>
    <col min="5890" max="5890" width="23.5" bestFit="1" customWidth="1"/>
    <col min="5891" max="5893" width="17.125" customWidth="1"/>
    <col min="5894" max="5894" width="37.25" customWidth="1"/>
    <col min="6145" max="6145" width="2.375" customWidth="1"/>
    <col min="6146" max="6146" width="23.5" bestFit="1" customWidth="1"/>
    <col min="6147" max="6149" width="17.125" customWidth="1"/>
    <col min="6150" max="6150" width="37.25" customWidth="1"/>
    <col min="6401" max="6401" width="2.375" customWidth="1"/>
    <col min="6402" max="6402" width="23.5" bestFit="1" customWidth="1"/>
    <col min="6403" max="6405" width="17.125" customWidth="1"/>
    <col min="6406" max="6406" width="37.25" customWidth="1"/>
    <col min="6657" max="6657" width="2.375" customWidth="1"/>
    <col min="6658" max="6658" width="23.5" bestFit="1" customWidth="1"/>
    <col min="6659" max="6661" width="17.125" customWidth="1"/>
    <col min="6662" max="6662" width="37.25" customWidth="1"/>
    <col min="6913" max="6913" width="2.375" customWidth="1"/>
    <col min="6914" max="6914" width="23.5" bestFit="1" customWidth="1"/>
    <col min="6915" max="6917" width="17.125" customWidth="1"/>
    <col min="6918" max="6918" width="37.25" customWidth="1"/>
    <col min="7169" max="7169" width="2.375" customWidth="1"/>
    <col min="7170" max="7170" width="23.5" bestFit="1" customWidth="1"/>
    <col min="7171" max="7173" width="17.125" customWidth="1"/>
    <col min="7174" max="7174" width="37.25" customWidth="1"/>
    <col min="7425" max="7425" width="2.375" customWidth="1"/>
    <col min="7426" max="7426" width="23.5" bestFit="1" customWidth="1"/>
    <col min="7427" max="7429" width="17.125" customWidth="1"/>
    <col min="7430" max="7430" width="37.25" customWidth="1"/>
    <col min="7681" max="7681" width="2.375" customWidth="1"/>
    <col min="7682" max="7682" width="23.5" bestFit="1" customWidth="1"/>
    <col min="7683" max="7685" width="17.125" customWidth="1"/>
    <col min="7686" max="7686" width="37.25" customWidth="1"/>
    <col min="7937" max="7937" width="2.375" customWidth="1"/>
    <col min="7938" max="7938" width="23.5" bestFit="1" customWidth="1"/>
    <col min="7939" max="7941" width="17.125" customWidth="1"/>
    <col min="7942" max="7942" width="37.25" customWidth="1"/>
    <col min="8193" max="8193" width="2.375" customWidth="1"/>
    <col min="8194" max="8194" width="23.5" bestFit="1" customWidth="1"/>
    <col min="8195" max="8197" width="17.125" customWidth="1"/>
    <col min="8198" max="8198" width="37.25" customWidth="1"/>
    <col min="8449" max="8449" width="2.375" customWidth="1"/>
    <col min="8450" max="8450" width="23.5" bestFit="1" customWidth="1"/>
    <col min="8451" max="8453" width="17.125" customWidth="1"/>
    <col min="8454" max="8454" width="37.25" customWidth="1"/>
    <col min="8705" max="8705" width="2.375" customWidth="1"/>
    <col min="8706" max="8706" width="23.5" bestFit="1" customWidth="1"/>
    <col min="8707" max="8709" width="17.125" customWidth="1"/>
    <col min="8710" max="8710" width="37.25" customWidth="1"/>
    <col min="8961" max="8961" width="2.375" customWidth="1"/>
    <col min="8962" max="8962" width="23.5" bestFit="1" customWidth="1"/>
    <col min="8963" max="8965" width="17.125" customWidth="1"/>
    <col min="8966" max="8966" width="37.25" customWidth="1"/>
    <col min="9217" max="9217" width="2.375" customWidth="1"/>
    <col min="9218" max="9218" width="23.5" bestFit="1" customWidth="1"/>
    <col min="9219" max="9221" width="17.125" customWidth="1"/>
    <col min="9222" max="9222" width="37.25" customWidth="1"/>
    <col min="9473" max="9473" width="2.375" customWidth="1"/>
    <col min="9474" max="9474" width="23.5" bestFit="1" customWidth="1"/>
    <col min="9475" max="9477" width="17.125" customWidth="1"/>
    <col min="9478" max="9478" width="37.25" customWidth="1"/>
    <col min="9729" max="9729" width="2.375" customWidth="1"/>
    <col min="9730" max="9730" width="23.5" bestFit="1" customWidth="1"/>
    <col min="9731" max="9733" width="17.125" customWidth="1"/>
    <col min="9734" max="9734" width="37.25" customWidth="1"/>
    <col min="9985" max="9985" width="2.375" customWidth="1"/>
    <col min="9986" max="9986" width="23.5" bestFit="1" customWidth="1"/>
    <col min="9987" max="9989" width="17.125" customWidth="1"/>
    <col min="9990" max="9990" width="37.25" customWidth="1"/>
    <col min="10241" max="10241" width="2.375" customWidth="1"/>
    <col min="10242" max="10242" width="23.5" bestFit="1" customWidth="1"/>
    <col min="10243" max="10245" width="17.125" customWidth="1"/>
    <col min="10246" max="10246" width="37.25" customWidth="1"/>
    <col min="10497" max="10497" width="2.375" customWidth="1"/>
    <col min="10498" max="10498" width="23.5" bestFit="1" customWidth="1"/>
    <col min="10499" max="10501" width="17.125" customWidth="1"/>
    <col min="10502" max="10502" width="37.25" customWidth="1"/>
    <col min="10753" max="10753" width="2.375" customWidth="1"/>
    <col min="10754" max="10754" width="23.5" bestFit="1" customWidth="1"/>
    <col min="10755" max="10757" width="17.125" customWidth="1"/>
    <col min="10758" max="10758" width="37.25" customWidth="1"/>
    <col min="11009" max="11009" width="2.375" customWidth="1"/>
    <col min="11010" max="11010" width="23.5" bestFit="1" customWidth="1"/>
    <col min="11011" max="11013" width="17.125" customWidth="1"/>
    <col min="11014" max="11014" width="37.25" customWidth="1"/>
    <col min="11265" max="11265" width="2.375" customWidth="1"/>
    <col min="11266" max="11266" width="23.5" bestFit="1" customWidth="1"/>
    <col min="11267" max="11269" width="17.125" customWidth="1"/>
    <col min="11270" max="11270" width="37.25" customWidth="1"/>
    <col min="11521" max="11521" width="2.375" customWidth="1"/>
    <col min="11522" max="11522" width="23.5" bestFit="1" customWidth="1"/>
    <col min="11523" max="11525" width="17.125" customWidth="1"/>
    <col min="11526" max="11526" width="37.25" customWidth="1"/>
    <col min="11777" max="11777" width="2.375" customWidth="1"/>
    <col min="11778" max="11778" width="23.5" bestFit="1" customWidth="1"/>
    <col min="11779" max="11781" width="17.125" customWidth="1"/>
    <col min="11782" max="11782" width="37.25" customWidth="1"/>
    <col min="12033" max="12033" width="2.375" customWidth="1"/>
    <col min="12034" max="12034" width="23.5" bestFit="1" customWidth="1"/>
    <col min="12035" max="12037" width="17.125" customWidth="1"/>
    <col min="12038" max="12038" width="37.25" customWidth="1"/>
    <col min="12289" max="12289" width="2.375" customWidth="1"/>
    <col min="12290" max="12290" width="23.5" bestFit="1" customWidth="1"/>
    <col min="12291" max="12293" width="17.125" customWidth="1"/>
    <col min="12294" max="12294" width="37.25" customWidth="1"/>
    <col min="12545" max="12545" width="2.375" customWidth="1"/>
    <col min="12546" max="12546" width="23.5" bestFit="1" customWidth="1"/>
    <col min="12547" max="12549" width="17.125" customWidth="1"/>
    <col min="12550" max="12550" width="37.25" customWidth="1"/>
    <col min="12801" max="12801" width="2.375" customWidth="1"/>
    <col min="12802" max="12802" width="23.5" bestFit="1" customWidth="1"/>
    <col min="12803" max="12805" width="17.125" customWidth="1"/>
    <col min="12806" max="12806" width="37.25" customWidth="1"/>
    <col min="13057" max="13057" width="2.375" customWidth="1"/>
    <col min="13058" max="13058" width="23.5" bestFit="1" customWidth="1"/>
    <col min="13059" max="13061" width="17.125" customWidth="1"/>
    <col min="13062" max="13062" width="37.25" customWidth="1"/>
    <col min="13313" max="13313" width="2.375" customWidth="1"/>
    <col min="13314" max="13314" width="23.5" bestFit="1" customWidth="1"/>
    <col min="13315" max="13317" width="17.125" customWidth="1"/>
    <col min="13318" max="13318" width="37.25" customWidth="1"/>
    <col min="13569" max="13569" width="2.375" customWidth="1"/>
    <col min="13570" max="13570" width="23.5" bestFit="1" customWidth="1"/>
    <col min="13571" max="13573" width="17.125" customWidth="1"/>
    <col min="13574" max="13574" width="37.25" customWidth="1"/>
    <col min="13825" max="13825" width="2.375" customWidth="1"/>
    <col min="13826" max="13826" width="23.5" bestFit="1" customWidth="1"/>
    <col min="13827" max="13829" width="17.125" customWidth="1"/>
    <col min="13830" max="13830" width="37.25" customWidth="1"/>
    <col min="14081" max="14081" width="2.375" customWidth="1"/>
    <col min="14082" max="14082" width="23.5" bestFit="1" customWidth="1"/>
    <col min="14083" max="14085" width="17.125" customWidth="1"/>
    <col min="14086" max="14086" width="37.25" customWidth="1"/>
    <col min="14337" max="14337" width="2.375" customWidth="1"/>
    <col min="14338" max="14338" width="23.5" bestFit="1" customWidth="1"/>
    <col min="14339" max="14341" width="17.125" customWidth="1"/>
    <col min="14342" max="14342" width="37.25" customWidth="1"/>
    <col min="14593" max="14593" width="2.375" customWidth="1"/>
    <col min="14594" max="14594" width="23.5" bestFit="1" customWidth="1"/>
    <col min="14595" max="14597" width="17.125" customWidth="1"/>
    <col min="14598" max="14598" width="37.25" customWidth="1"/>
    <col min="14849" max="14849" width="2.375" customWidth="1"/>
    <col min="14850" max="14850" width="23.5" bestFit="1" customWidth="1"/>
    <col min="14851" max="14853" width="17.125" customWidth="1"/>
    <col min="14854" max="14854" width="37.25" customWidth="1"/>
    <col min="15105" max="15105" width="2.375" customWidth="1"/>
    <col min="15106" max="15106" width="23.5" bestFit="1" customWidth="1"/>
    <col min="15107" max="15109" width="17.125" customWidth="1"/>
    <col min="15110" max="15110" width="37.25" customWidth="1"/>
    <col min="15361" max="15361" width="2.375" customWidth="1"/>
    <col min="15362" max="15362" width="23.5" bestFit="1" customWidth="1"/>
    <col min="15363" max="15365" width="17.125" customWidth="1"/>
    <col min="15366" max="15366" width="37.25" customWidth="1"/>
    <col min="15617" max="15617" width="2.375" customWidth="1"/>
    <col min="15618" max="15618" width="23.5" bestFit="1" customWidth="1"/>
    <col min="15619" max="15621" width="17.125" customWidth="1"/>
    <col min="15622" max="15622" width="37.25" customWidth="1"/>
    <col min="15873" max="15873" width="2.375" customWidth="1"/>
    <col min="15874" max="15874" width="23.5" bestFit="1" customWidth="1"/>
    <col min="15875" max="15877" width="17.125" customWidth="1"/>
    <col min="15878" max="15878" width="37.25" customWidth="1"/>
    <col min="16129" max="16129" width="2.375" customWidth="1"/>
    <col min="16130" max="16130" width="23.5" bestFit="1" customWidth="1"/>
    <col min="16131" max="16133" width="17.125" customWidth="1"/>
    <col min="16134" max="16134" width="37.25" customWidth="1"/>
  </cols>
  <sheetData>
    <row r="1" spans="1:6" ht="17.100000000000001" customHeight="1" x14ac:dyDescent="0.4">
      <c r="A1" t="str">
        <f>"令和"&amp;チェックシート!$C$3&amp;"年度"</f>
        <v>令和5年度</v>
      </c>
    </row>
    <row r="2" spans="1:6" ht="17.100000000000001" customHeight="1" x14ac:dyDescent="0.4">
      <c r="A2" s="282" t="str">
        <f>チェックシート!$C$2</f>
        <v>白子町</v>
      </c>
      <c r="F2" s="206" t="s">
        <v>548</v>
      </c>
    </row>
    <row r="3" spans="1:6" ht="17.100000000000001" customHeight="1" x14ac:dyDescent="0.4">
      <c r="B3" s="42" t="s">
        <v>335</v>
      </c>
      <c r="C3" s="24" t="s">
        <v>330</v>
      </c>
      <c r="D3" s="24" t="s">
        <v>331</v>
      </c>
      <c r="E3" s="24" t="s">
        <v>332</v>
      </c>
      <c r="F3" s="24" t="s">
        <v>336</v>
      </c>
    </row>
    <row r="4" spans="1:6" ht="17.100000000000001" customHeight="1" x14ac:dyDescent="0.4">
      <c r="B4" s="43" t="s">
        <v>337</v>
      </c>
      <c r="C4" s="376"/>
      <c r="D4" s="44">
        <f>精算表!S175</f>
        <v>283676346</v>
      </c>
      <c r="E4" s="44">
        <f>-D4</f>
        <v>-283676346</v>
      </c>
      <c r="F4" s="3" t="s">
        <v>100</v>
      </c>
    </row>
    <row r="5" spans="1:6" ht="17.100000000000001" customHeight="1" x14ac:dyDescent="0.4">
      <c r="B5" s="45"/>
      <c r="C5" s="377"/>
      <c r="D5" s="46"/>
      <c r="E5" s="47">
        <f>-D5</f>
        <v>0</v>
      </c>
      <c r="F5" s="48"/>
    </row>
    <row r="6" spans="1:6" ht="17.100000000000001" customHeight="1" x14ac:dyDescent="0.4">
      <c r="B6" s="45"/>
      <c r="C6" s="377"/>
      <c r="D6" s="46"/>
      <c r="E6" s="47">
        <f>-D6</f>
        <v>0</v>
      </c>
      <c r="F6" s="48"/>
    </row>
    <row r="7" spans="1:6" ht="17.100000000000001" customHeight="1" thickBot="1" x14ac:dyDescent="0.45">
      <c r="B7" s="49"/>
      <c r="C7" s="377"/>
      <c r="D7" s="50"/>
      <c r="E7" s="51">
        <f>-D7</f>
        <v>0</v>
      </c>
      <c r="F7" s="52"/>
    </row>
    <row r="8" spans="1:6" ht="17.100000000000001" customHeight="1" thickTop="1" x14ac:dyDescent="0.4">
      <c r="B8" s="53" t="s">
        <v>339</v>
      </c>
      <c r="C8" s="378"/>
      <c r="D8" s="54">
        <f>SUM(D4:D7)</f>
        <v>283676346</v>
      </c>
      <c r="E8" s="54">
        <f>SUM(E4:E7)</f>
        <v>-283676346</v>
      </c>
      <c r="F8" s="55"/>
    </row>
    <row r="9" spans="1:6" ht="17.100000000000001" customHeight="1" x14ac:dyDescent="0.4">
      <c r="B9" s="45" t="s">
        <v>333</v>
      </c>
      <c r="C9" s="376"/>
      <c r="D9" s="47">
        <f>-精算表!R102</f>
        <v>-499867655</v>
      </c>
      <c r="E9" s="47">
        <f>-D9</f>
        <v>499867655</v>
      </c>
      <c r="F9" s="4" t="s">
        <v>63</v>
      </c>
    </row>
    <row r="10" spans="1:6" ht="17.100000000000001" customHeight="1" x14ac:dyDescent="0.4">
      <c r="B10" s="45"/>
      <c r="C10" s="377"/>
      <c r="D10" s="46"/>
      <c r="E10" s="47">
        <f>-D10</f>
        <v>0</v>
      </c>
      <c r="F10" s="48"/>
    </row>
    <row r="11" spans="1:6" ht="17.100000000000001" customHeight="1" x14ac:dyDescent="0.4">
      <c r="B11" s="45"/>
      <c r="C11" s="377"/>
      <c r="D11" s="46">
        <v>-884086</v>
      </c>
      <c r="E11" s="47">
        <f>-D11</f>
        <v>884086</v>
      </c>
      <c r="F11" s="48" t="s">
        <v>340</v>
      </c>
    </row>
    <row r="12" spans="1:6" ht="17.100000000000001" customHeight="1" thickBot="1" x14ac:dyDescent="0.45">
      <c r="B12" s="45"/>
      <c r="C12" s="377"/>
      <c r="D12" s="46"/>
      <c r="E12" s="47">
        <f>-D12</f>
        <v>0</v>
      </c>
      <c r="F12" s="48" t="s">
        <v>340</v>
      </c>
    </row>
    <row r="13" spans="1:6" ht="17.100000000000001" customHeight="1" thickTop="1" x14ac:dyDescent="0.4">
      <c r="B13" s="53" t="s">
        <v>341</v>
      </c>
      <c r="C13" s="378"/>
      <c r="D13" s="54">
        <f>SUM(D9:D12)</f>
        <v>-500751741</v>
      </c>
      <c r="E13" s="54">
        <f>SUM(E9:E12)</f>
        <v>500751741</v>
      </c>
      <c r="F13" s="55"/>
    </row>
    <row r="14" spans="1:6" ht="17.100000000000001" customHeight="1" x14ac:dyDescent="0.4">
      <c r="B14" s="45" t="s">
        <v>342</v>
      </c>
      <c r="C14" s="376"/>
      <c r="D14" s="47">
        <f>精算表!S176</f>
        <v>307281663</v>
      </c>
      <c r="E14" s="47">
        <f t="shared" ref="E14:E18" si="0">-D14</f>
        <v>-307281663</v>
      </c>
      <c r="F14" s="4" t="s">
        <v>101</v>
      </c>
    </row>
    <row r="15" spans="1:6" ht="17.100000000000001" customHeight="1" x14ac:dyDescent="0.4">
      <c r="B15" s="45"/>
      <c r="C15" s="377"/>
      <c r="D15" s="47"/>
      <c r="E15" s="47">
        <f t="shared" si="0"/>
        <v>0</v>
      </c>
      <c r="F15" s="4" t="s">
        <v>580</v>
      </c>
    </row>
    <row r="16" spans="1:6" ht="17.100000000000001" customHeight="1" x14ac:dyDescent="0.4">
      <c r="B16" s="45"/>
      <c r="C16" s="377"/>
      <c r="D16" s="47">
        <f>精算表!S178</f>
        <v>0</v>
      </c>
      <c r="E16" s="47">
        <f t="shared" si="0"/>
        <v>0</v>
      </c>
      <c r="F16" s="4" t="s">
        <v>103</v>
      </c>
    </row>
    <row r="17" spans="2:8" ht="17.100000000000001" customHeight="1" x14ac:dyDescent="0.4">
      <c r="B17" s="45"/>
      <c r="C17" s="377"/>
      <c r="D17" s="363">
        <v>27548914</v>
      </c>
      <c r="E17" s="47">
        <f t="shared" si="0"/>
        <v>-27548914</v>
      </c>
      <c r="F17" s="4"/>
    </row>
    <row r="18" spans="2:8" ht="17.100000000000001" customHeight="1" thickBot="1" x14ac:dyDescent="0.45">
      <c r="B18" s="45"/>
      <c r="C18" s="377"/>
      <c r="D18" s="46">
        <v>4780740</v>
      </c>
      <c r="E18" s="47">
        <f t="shared" si="0"/>
        <v>-4780740</v>
      </c>
      <c r="F18" s="4"/>
    </row>
    <row r="19" spans="2:8" ht="17.100000000000001" customHeight="1" thickTop="1" x14ac:dyDescent="0.4">
      <c r="B19" s="53" t="s">
        <v>343</v>
      </c>
      <c r="C19" s="378"/>
      <c r="D19" s="54">
        <f>SUM(D14:D18)</f>
        <v>339611317</v>
      </c>
      <c r="E19" s="54">
        <f>SUM(E14:E18)</f>
        <v>-339611317</v>
      </c>
      <c r="F19" s="55"/>
    </row>
    <row r="20" spans="2:8" ht="17.100000000000001" customHeight="1" x14ac:dyDescent="0.4">
      <c r="B20" s="45" t="s">
        <v>344</v>
      </c>
      <c r="C20" s="376"/>
      <c r="D20" s="47">
        <f>-精算表!R182</f>
        <v>-131390916</v>
      </c>
      <c r="E20" s="47">
        <f t="shared" ref="E20:E24" si="1">-D20</f>
        <v>131390916</v>
      </c>
      <c r="F20" s="4" t="s">
        <v>106</v>
      </c>
    </row>
    <row r="21" spans="2:8" ht="17.100000000000001" customHeight="1" x14ac:dyDescent="0.4">
      <c r="B21" s="45"/>
      <c r="C21" s="377"/>
      <c r="D21" s="47">
        <f>-精算表!R183</f>
        <v>0</v>
      </c>
      <c r="E21" s="47">
        <f t="shared" si="1"/>
        <v>0</v>
      </c>
      <c r="F21" s="4" t="s">
        <v>107</v>
      </c>
    </row>
    <row r="22" spans="2:8" ht="17.100000000000001" customHeight="1" x14ac:dyDescent="0.4">
      <c r="B22" s="45"/>
      <c r="C22" s="377"/>
      <c r="D22" s="46">
        <f>-4780740-2714992-25092046</f>
        <v>-32587778</v>
      </c>
      <c r="E22" s="47">
        <f t="shared" si="1"/>
        <v>32587778</v>
      </c>
      <c r="F22" s="4"/>
      <c r="H22" s="355"/>
    </row>
    <row r="23" spans="2:8" ht="17.100000000000001" customHeight="1" x14ac:dyDescent="0.4">
      <c r="B23" s="45"/>
      <c r="C23" s="377"/>
      <c r="D23" s="46">
        <f>-4828911</f>
        <v>-4828911</v>
      </c>
      <c r="E23" s="47">
        <f t="shared" si="1"/>
        <v>4828911</v>
      </c>
      <c r="F23" s="4"/>
    </row>
    <row r="24" spans="2:8" ht="17.100000000000001" customHeight="1" thickBot="1" x14ac:dyDescent="0.45">
      <c r="B24" s="45"/>
      <c r="C24" s="377"/>
      <c r="D24" s="46"/>
      <c r="E24" s="47">
        <f t="shared" si="1"/>
        <v>0</v>
      </c>
      <c r="F24" s="4"/>
    </row>
    <row r="25" spans="2:8" ht="17.100000000000001" customHeight="1" thickTop="1" thickBot="1" x14ac:dyDescent="0.45">
      <c r="B25" s="326" t="s">
        <v>345</v>
      </c>
      <c r="C25" s="377"/>
      <c r="D25" s="324">
        <f>SUM(D20:D24)</f>
        <v>-168807605</v>
      </c>
      <c r="E25" s="324">
        <f>SUM(E20:E24)</f>
        <v>168807605</v>
      </c>
      <c r="F25" s="325"/>
    </row>
    <row r="26" spans="2:8" ht="17.100000000000001" customHeight="1" thickTop="1" x14ac:dyDescent="0.4">
      <c r="B26" s="56" t="s">
        <v>346</v>
      </c>
      <c r="C26" s="57"/>
      <c r="D26" s="58">
        <f>D8+D13+D19+D25</f>
        <v>-46271683</v>
      </c>
      <c r="E26" s="58">
        <f>E8+E13+E19+E25</f>
        <v>46271683</v>
      </c>
      <c r="F26" s="59"/>
    </row>
    <row r="29" spans="2:8" ht="17.100000000000001" customHeight="1" x14ac:dyDescent="0.4">
      <c r="B29" s="42" t="s">
        <v>334</v>
      </c>
      <c r="C29" s="42" t="s">
        <v>330</v>
      </c>
      <c r="D29" s="42" t="s">
        <v>331</v>
      </c>
      <c r="E29" s="42" t="s">
        <v>332</v>
      </c>
      <c r="F29" s="42" t="s">
        <v>336</v>
      </c>
    </row>
    <row r="30" spans="2:8" ht="17.100000000000001" customHeight="1" x14ac:dyDescent="0.4">
      <c r="B30" s="43" t="s">
        <v>347</v>
      </c>
      <c r="C30" s="60">
        <f>D30</f>
        <v>0</v>
      </c>
      <c r="D30" s="61">
        <f>精算表!S142</f>
        <v>0</v>
      </c>
      <c r="E30" s="379"/>
      <c r="F30" s="3" t="s">
        <v>348</v>
      </c>
    </row>
    <row r="31" spans="2:8" ht="17.100000000000001" customHeight="1" x14ac:dyDescent="0.4">
      <c r="B31" s="45"/>
      <c r="C31" s="47">
        <f>D31</f>
        <v>0</v>
      </c>
      <c r="D31" s="47"/>
      <c r="E31" s="380"/>
      <c r="F31" s="4"/>
    </row>
    <row r="32" spans="2:8" ht="17.100000000000001" customHeight="1" thickBot="1" x14ac:dyDescent="0.45">
      <c r="B32" s="49"/>
      <c r="C32" s="47">
        <f>D32</f>
        <v>0</v>
      </c>
      <c r="D32" s="51"/>
      <c r="E32" s="380"/>
      <c r="F32" s="5"/>
    </row>
    <row r="33" spans="2:6" ht="17.100000000000001" customHeight="1" thickTop="1" x14ac:dyDescent="0.4">
      <c r="B33" s="53" t="s">
        <v>349</v>
      </c>
      <c r="C33" s="62">
        <f>SUM(C30:C32)</f>
        <v>0</v>
      </c>
      <c r="D33" s="54">
        <f>SUM(D30:D32)</f>
        <v>0</v>
      </c>
      <c r="E33" s="381"/>
      <c r="F33" s="55"/>
    </row>
    <row r="34" spans="2:6" ht="17.100000000000001" customHeight="1" x14ac:dyDescent="0.4">
      <c r="B34" s="43" t="s">
        <v>350</v>
      </c>
      <c r="C34" s="60">
        <f>D34</f>
        <v>0</v>
      </c>
      <c r="D34" s="60">
        <f>精算表!S143</f>
        <v>0</v>
      </c>
      <c r="E34" s="373"/>
      <c r="F34" s="3" t="s">
        <v>351</v>
      </c>
    </row>
    <row r="35" spans="2:6" ht="17.100000000000001" customHeight="1" x14ac:dyDescent="0.4">
      <c r="B35" s="45"/>
      <c r="C35" s="47">
        <f>D35</f>
        <v>0</v>
      </c>
      <c r="D35" s="47"/>
      <c r="E35" s="374"/>
      <c r="F35" s="4"/>
    </row>
    <row r="36" spans="2:6" ht="17.100000000000001" customHeight="1" thickBot="1" x14ac:dyDescent="0.45">
      <c r="B36" s="45"/>
      <c r="C36" s="47">
        <f>D36</f>
        <v>0</v>
      </c>
      <c r="D36" s="47"/>
      <c r="E36" s="374"/>
      <c r="F36" s="4"/>
    </row>
    <row r="37" spans="2:6" ht="17.100000000000001" customHeight="1" thickTop="1" x14ac:dyDescent="0.4">
      <c r="B37" s="53" t="s">
        <v>352</v>
      </c>
      <c r="C37" s="62">
        <f>SUM(C34:C36)</f>
        <v>0</v>
      </c>
      <c r="D37" s="54">
        <f>SUM(D34:D36)</f>
        <v>0</v>
      </c>
      <c r="E37" s="375"/>
      <c r="F37" s="55"/>
    </row>
    <row r="38" spans="2:6" ht="17.100000000000001" customHeight="1" x14ac:dyDescent="0.4">
      <c r="B38" s="45" t="s">
        <v>353</v>
      </c>
      <c r="C38" s="47">
        <f>D38+E38</f>
        <v>102536191</v>
      </c>
      <c r="D38" s="47">
        <f>SUMIF(決算整理!D:D,"NWその他（固定資産等形成分）",決算整理!E:E)-SUMIF(決算整理!C:C,"NWその他（固定資産等形成分）",決算整理!E:E)</f>
        <v>102536191</v>
      </c>
      <c r="E38" s="47">
        <f>SUMIF(決算整理!D:D,"NWその他（余剰分(不足分)）",決算整理!E:E)-SUMIF(決算整理!C:C,"NWその他（余剰分(不足分)）",決算整理!E:E)</f>
        <v>0</v>
      </c>
      <c r="F38" s="4"/>
    </row>
    <row r="39" spans="2:6" ht="17.100000000000001" customHeight="1" thickBot="1" x14ac:dyDescent="0.45">
      <c r="B39" s="45"/>
      <c r="C39" s="47">
        <f>D39+E39</f>
        <v>0</v>
      </c>
      <c r="D39" s="47"/>
      <c r="E39" s="47"/>
      <c r="F39" s="4"/>
    </row>
    <row r="40" spans="2:6" ht="17.100000000000001" customHeight="1" thickTop="1" thickBot="1" x14ac:dyDescent="0.45">
      <c r="B40" s="53" t="s">
        <v>354</v>
      </c>
      <c r="C40" s="62">
        <f>SUM(C38:C39)</f>
        <v>102536191</v>
      </c>
      <c r="D40" s="54">
        <f>SUM(D38:D39)</f>
        <v>102536191</v>
      </c>
      <c r="E40" s="54">
        <f>SUM(E38:E39)</f>
        <v>0</v>
      </c>
      <c r="F40" s="55"/>
    </row>
    <row r="41" spans="2:6" ht="17.100000000000001" customHeight="1" thickTop="1" x14ac:dyDescent="0.4">
      <c r="B41" s="56" t="s">
        <v>355</v>
      </c>
      <c r="C41" s="58">
        <f>C33+C37+C40</f>
        <v>102536191</v>
      </c>
      <c r="D41" s="58">
        <f>D33+D37+D40</f>
        <v>102536191</v>
      </c>
      <c r="E41" s="58">
        <f>E40</f>
        <v>0</v>
      </c>
      <c r="F41" s="59"/>
    </row>
    <row r="42" spans="2:6" ht="17.100000000000001" customHeight="1" thickBot="1" x14ac:dyDescent="0.45"/>
    <row r="43" spans="2:6" ht="17.100000000000001" customHeight="1" thickTop="1" x14ac:dyDescent="0.4">
      <c r="B43" s="56" t="s">
        <v>356</v>
      </c>
      <c r="C43" s="58">
        <f>C41</f>
        <v>102536191</v>
      </c>
      <c r="D43" s="58">
        <f>D26+D41</f>
        <v>56264508</v>
      </c>
      <c r="E43" s="58">
        <f>E26+E41</f>
        <v>46271683</v>
      </c>
      <c r="F43" s="59"/>
    </row>
  </sheetData>
  <mergeCells count="6">
    <mergeCell ref="E34:E37"/>
    <mergeCell ref="C4:C8"/>
    <mergeCell ref="C9:C13"/>
    <mergeCell ref="C14:C19"/>
    <mergeCell ref="C20:C25"/>
    <mergeCell ref="E30:E33"/>
  </mergeCells>
  <phoneticPr fontId="1"/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17DE-369C-4A21-A67C-B41B4711370B}">
  <sheetPr>
    <tabColor rgb="FF66CCFF"/>
    <pageSetUpPr fitToPage="1"/>
  </sheetPr>
  <dimension ref="A1:G111"/>
  <sheetViews>
    <sheetView view="pageLayout" topLeftCell="C67" zoomScaleNormal="115" workbookViewId="0">
      <selection activeCell="J31" sqref="J31"/>
    </sheetView>
  </sheetViews>
  <sheetFormatPr defaultRowHeight="17.100000000000001" customHeight="1" x14ac:dyDescent="0.4"/>
  <cols>
    <col min="1" max="1" width="2.125" style="21" customWidth="1"/>
    <col min="2" max="2" width="20.625" style="21" customWidth="1"/>
    <col min="3" max="4" width="30.625" style="21" customWidth="1"/>
    <col min="5" max="5" width="15.625" style="21" customWidth="1"/>
    <col min="6" max="6" width="35.625" style="21" customWidth="1"/>
    <col min="7" max="7" width="11.5" style="21" bestFit="1" customWidth="1"/>
    <col min="8" max="256" width="8.625" style="21"/>
    <col min="257" max="257" width="2.375" style="21" customWidth="1"/>
    <col min="258" max="258" width="18.875" style="21" customWidth="1"/>
    <col min="259" max="260" width="30.875" style="21" customWidth="1"/>
    <col min="261" max="261" width="13.375" style="21" customWidth="1"/>
    <col min="262" max="262" width="32.125" style="21" bestFit="1" customWidth="1"/>
    <col min="263" max="512" width="8.625" style="21"/>
    <col min="513" max="513" width="2.375" style="21" customWidth="1"/>
    <col min="514" max="514" width="18.875" style="21" customWidth="1"/>
    <col min="515" max="516" width="30.875" style="21" customWidth="1"/>
    <col min="517" max="517" width="13.375" style="21" customWidth="1"/>
    <col min="518" max="518" width="32.125" style="21" bestFit="1" customWidth="1"/>
    <col min="519" max="768" width="8.625" style="21"/>
    <col min="769" max="769" width="2.375" style="21" customWidth="1"/>
    <col min="770" max="770" width="18.875" style="21" customWidth="1"/>
    <col min="771" max="772" width="30.875" style="21" customWidth="1"/>
    <col min="773" max="773" width="13.375" style="21" customWidth="1"/>
    <col min="774" max="774" width="32.125" style="21" bestFit="1" customWidth="1"/>
    <col min="775" max="1024" width="8.625" style="21"/>
    <col min="1025" max="1025" width="2.375" style="21" customWidth="1"/>
    <col min="1026" max="1026" width="18.875" style="21" customWidth="1"/>
    <col min="1027" max="1028" width="30.875" style="21" customWidth="1"/>
    <col min="1029" max="1029" width="13.375" style="21" customWidth="1"/>
    <col min="1030" max="1030" width="32.125" style="21" bestFit="1" customWidth="1"/>
    <col min="1031" max="1280" width="8.625" style="21"/>
    <col min="1281" max="1281" width="2.375" style="21" customWidth="1"/>
    <col min="1282" max="1282" width="18.875" style="21" customWidth="1"/>
    <col min="1283" max="1284" width="30.875" style="21" customWidth="1"/>
    <col min="1285" max="1285" width="13.375" style="21" customWidth="1"/>
    <col min="1286" max="1286" width="32.125" style="21" bestFit="1" customWidth="1"/>
    <col min="1287" max="1536" width="8.625" style="21"/>
    <col min="1537" max="1537" width="2.375" style="21" customWidth="1"/>
    <col min="1538" max="1538" width="18.875" style="21" customWidth="1"/>
    <col min="1539" max="1540" width="30.875" style="21" customWidth="1"/>
    <col min="1541" max="1541" width="13.375" style="21" customWidth="1"/>
    <col min="1542" max="1542" width="32.125" style="21" bestFit="1" customWidth="1"/>
    <col min="1543" max="1792" width="8.625" style="21"/>
    <col min="1793" max="1793" width="2.375" style="21" customWidth="1"/>
    <col min="1794" max="1794" width="18.875" style="21" customWidth="1"/>
    <col min="1795" max="1796" width="30.875" style="21" customWidth="1"/>
    <col min="1797" max="1797" width="13.375" style="21" customWidth="1"/>
    <col min="1798" max="1798" width="32.125" style="21" bestFit="1" customWidth="1"/>
    <col min="1799" max="2048" width="8.625" style="21"/>
    <col min="2049" max="2049" width="2.375" style="21" customWidth="1"/>
    <col min="2050" max="2050" width="18.875" style="21" customWidth="1"/>
    <col min="2051" max="2052" width="30.875" style="21" customWidth="1"/>
    <col min="2053" max="2053" width="13.375" style="21" customWidth="1"/>
    <col min="2054" max="2054" width="32.125" style="21" bestFit="1" customWidth="1"/>
    <col min="2055" max="2304" width="8.625" style="21"/>
    <col min="2305" max="2305" width="2.375" style="21" customWidth="1"/>
    <col min="2306" max="2306" width="18.875" style="21" customWidth="1"/>
    <col min="2307" max="2308" width="30.875" style="21" customWidth="1"/>
    <col min="2309" max="2309" width="13.375" style="21" customWidth="1"/>
    <col min="2310" max="2310" width="32.125" style="21" bestFit="1" customWidth="1"/>
    <col min="2311" max="2560" width="8.625" style="21"/>
    <col min="2561" max="2561" width="2.375" style="21" customWidth="1"/>
    <col min="2562" max="2562" width="18.875" style="21" customWidth="1"/>
    <col min="2563" max="2564" width="30.875" style="21" customWidth="1"/>
    <col min="2565" max="2565" width="13.375" style="21" customWidth="1"/>
    <col min="2566" max="2566" width="32.125" style="21" bestFit="1" customWidth="1"/>
    <col min="2567" max="2816" width="8.625" style="21"/>
    <col min="2817" max="2817" width="2.375" style="21" customWidth="1"/>
    <col min="2818" max="2818" width="18.875" style="21" customWidth="1"/>
    <col min="2819" max="2820" width="30.875" style="21" customWidth="1"/>
    <col min="2821" max="2821" width="13.375" style="21" customWidth="1"/>
    <col min="2822" max="2822" width="32.125" style="21" bestFit="1" customWidth="1"/>
    <col min="2823" max="3072" width="8.625" style="21"/>
    <col min="3073" max="3073" width="2.375" style="21" customWidth="1"/>
    <col min="3074" max="3074" width="18.875" style="21" customWidth="1"/>
    <col min="3075" max="3076" width="30.875" style="21" customWidth="1"/>
    <col min="3077" max="3077" width="13.375" style="21" customWidth="1"/>
    <col min="3078" max="3078" width="32.125" style="21" bestFit="1" customWidth="1"/>
    <col min="3079" max="3328" width="8.625" style="21"/>
    <col min="3329" max="3329" width="2.375" style="21" customWidth="1"/>
    <col min="3330" max="3330" width="18.875" style="21" customWidth="1"/>
    <col min="3331" max="3332" width="30.875" style="21" customWidth="1"/>
    <col min="3333" max="3333" width="13.375" style="21" customWidth="1"/>
    <col min="3334" max="3334" width="32.125" style="21" bestFit="1" customWidth="1"/>
    <col min="3335" max="3584" width="8.625" style="21"/>
    <col min="3585" max="3585" width="2.375" style="21" customWidth="1"/>
    <col min="3586" max="3586" width="18.875" style="21" customWidth="1"/>
    <col min="3587" max="3588" width="30.875" style="21" customWidth="1"/>
    <col min="3589" max="3589" width="13.375" style="21" customWidth="1"/>
    <col min="3590" max="3590" width="32.125" style="21" bestFit="1" customWidth="1"/>
    <col min="3591" max="3840" width="8.625" style="21"/>
    <col min="3841" max="3841" width="2.375" style="21" customWidth="1"/>
    <col min="3842" max="3842" width="18.875" style="21" customWidth="1"/>
    <col min="3843" max="3844" width="30.875" style="21" customWidth="1"/>
    <col min="3845" max="3845" width="13.375" style="21" customWidth="1"/>
    <col min="3846" max="3846" width="32.125" style="21" bestFit="1" customWidth="1"/>
    <col min="3847" max="4096" width="8.625" style="21"/>
    <col min="4097" max="4097" width="2.375" style="21" customWidth="1"/>
    <col min="4098" max="4098" width="18.875" style="21" customWidth="1"/>
    <col min="4099" max="4100" width="30.875" style="21" customWidth="1"/>
    <col min="4101" max="4101" width="13.375" style="21" customWidth="1"/>
    <col min="4102" max="4102" width="32.125" style="21" bestFit="1" customWidth="1"/>
    <col min="4103" max="4352" width="8.625" style="21"/>
    <col min="4353" max="4353" width="2.375" style="21" customWidth="1"/>
    <col min="4354" max="4354" width="18.875" style="21" customWidth="1"/>
    <col min="4355" max="4356" width="30.875" style="21" customWidth="1"/>
    <col min="4357" max="4357" width="13.375" style="21" customWidth="1"/>
    <col min="4358" max="4358" width="32.125" style="21" bestFit="1" customWidth="1"/>
    <col min="4359" max="4608" width="8.625" style="21"/>
    <col min="4609" max="4609" width="2.375" style="21" customWidth="1"/>
    <col min="4610" max="4610" width="18.875" style="21" customWidth="1"/>
    <col min="4611" max="4612" width="30.875" style="21" customWidth="1"/>
    <col min="4613" max="4613" width="13.375" style="21" customWidth="1"/>
    <col min="4614" max="4614" width="32.125" style="21" bestFit="1" customWidth="1"/>
    <col min="4615" max="4864" width="8.625" style="21"/>
    <col min="4865" max="4865" width="2.375" style="21" customWidth="1"/>
    <col min="4866" max="4866" width="18.875" style="21" customWidth="1"/>
    <col min="4867" max="4868" width="30.875" style="21" customWidth="1"/>
    <col min="4869" max="4869" width="13.375" style="21" customWidth="1"/>
    <col min="4870" max="4870" width="32.125" style="21" bestFit="1" customWidth="1"/>
    <col min="4871" max="5120" width="8.625" style="21"/>
    <col min="5121" max="5121" width="2.375" style="21" customWidth="1"/>
    <col min="5122" max="5122" width="18.875" style="21" customWidth="1"/>
    <col min="5123" max="5124" width="30.875" style="21" customWidth="1"/>
    <col min="5125" max="5125" width="13.375" style="21" customWidth="1"/>
    <col min="5126" max="5126" width="32.125" style="21" bestFit="1" customWidth="1"/>
    <col min="5127" max="5376" width="8.625" style="21"/>
    <col min="5377" max="5377" width="2.375" style="21" customWidth="1"/>
    <col min="5378" max="5378" width="18.875" style="21" customWidth="1"/>
    <col min="5379" max="5380" width="30.875" style="21" customWidth="1"/>
    <col min="5381" max="5381" width="13.375" style="21" customWidth="1"/>
    <col min="5382" max="5382" width="32.125" style="21" bestFit="1" customWidth="1"/>
    <col min="5383" max="5632" width="8.625" style="21"/>
    <col min="5633" max="5633" width="2.375" style="21" customWidth="1"/>
    <col min="5634" max="5634" width="18.875" style="21" customWidth="1"/>
    <col min="5635" max="5636" width="30.875" style="21" customWidth="1"/>
    <col min="5637" max="5637" width="13.375" style="21" customWidth="1"/>
    <col min="5638" max="5638" width="32.125" style="21" bestFit="1" customWidth="1"/>
    <col min="5639" max="5888" width="8.625" style="21"/>
    <col min="5889" max="5889" width="2.375" style="21" customWidth="1"/>
    <col min="5890" max="5890" width="18.875" style="21" customWidth="1"/>
    <col min="5891" max="5892" width="30.875" style="21" customWidth="1"/>
    <col min="5893" max="5893" width="13.375" style="21" customWidth="1"/>
    <col min="5894" max="5894" width="32.125" style="21" bestFit="1" customWidth="1"/>
    <col min="5895" max="6144" width="8.625" style="21"/>
    <col min="6145" max="6145" width="2.375" style="21" customWidth="1"/>
    <col min="6146" max="6146" width="18.875" style="21" customWidth="1"/>
    <col min="6147" max="6148" width="30.875" style="21" customWidth="1"/>
    <col min="6149" max="6149" width="13.375" style="21" customWidth="1"/>
    <col min="6150" max="6150" width="32.125" style="21" bestFit="1" customWidth="1"/>
    <col min="6151" max="6400" width="8.625" style="21"/>
    <col min="6401" max="6401" width="2.375" style="21" customWidth="1"/>
    <col min="6402" max="6402" width="18.875" style="21" customWidth="1"/>
    <col min="6403" max="6404" width="30.875" style="21" customWidth="1"/>
    <col min="6405" max="6405" width="13.375" style="21" customWidth="1"/>
    <col min="6406" max="6406" width="32.125" style="21" bestFit="1" customWidth="1"/>
    <col min="6407" max="6656" width="8.625" style="21"/>
    <col min="6657" max="6657" width="2.375" style="21" customWidth="1"/>
    <col min="6658" max="6658" width="18.875" style="21" customWidth="1"/>
    <col min="6659" max="6660" width="30.875" style="21" customWidth="1"/>
    <col min="6661" max="6661" width="13.375" style="21" customWidth="1"/>
    <col min="6662" max="6662" width="32.125" style="21" bestFit="1" customWidth="1"/>
    <col min="6663" max="6912" width="8.625" style="21"/>
    <col min="6913" max="6913" width="2.375" style="21" customWidth="1"/>
    <col min="6914" max="6914" width="18.875" style="21" customWidth="1"/>
    <col min="6915" max="6916" width="30.875" style="21" customWidth="1"/>
    <col min="6917" max="6917" width="13.375" style="21" customWidth="1"/>
    <col min="6918" max="6918" width="32.125" style="21" bestFit="1" customWidth="1"/>
    <col min="6919" max="7168" width="8.625" style="21"/>
    <col min="7169" max="7169" width="2.375" style="21" customWidth="1"/>
    <col min="7170" max="7170" width="18.875" style="21" customWidth="1"/>
    <col min="7171" max="7172" width="30.875" style="21" customWidth="1"/>
    <col min="7173" max="7173" width="13.375" style="21" customWidth="1"/>
    <col min="7174" max="7174" width="32.125" style="21" bestFit="1" customWidth="1"/>
    <col min="7175" max="7424" width="8.625" style="21"/>
    <col min="7425" max="7425" width="2.375" style="21" customWidth="1"/>
    <col min="7426" max="7426" width="18.875" style="21" customWidth="1"/>
    <col min="7427" max="7428" width="30.875" style="21" customWidth="1"/>
    <col min="7429" max="7429" width="13.375" style="21" customWidth="1"/>
    <col min="7430" max="7430" width="32.125" style="21" bestFit="1" customWidth="1"/>
    <col min="7431" max="7680" width="8.625" style="21"/>
    <col min="7681" max="7681" width="2.375" style="21" customWidth="1"/>
    <col min="7682" max="7682" width="18.875" style="21" customWidth="1"/>
    <col min="7683" max="7684" width="30.875" style="21" customWidth="1"/>
    <col min="7685" max="7685" width="13.375" style="21" customWidth="1"/>
    <col min="7686" max="7686" width="32.125" style="21" bestFit="1" customWidth="1"/>
    <col min="7687" max="7936" width="8.625" style="21"/>
    <col min="7937" max="7937" width="2.375" style="21" customWidth="1"/>
    <col min="7938" max="7938" width="18.875" style="21" customWidth="1"/>
    <col min="7939" max="7940" width="30.875" style="21" customWidth="1"/>
    <col min="7941" max="7941" width="13.375" style="21" customWidth="1"/>
    <col min="7942" max="7942" width="32.125" style="21" bestFit="1" customWidth="1"/>
    <col min="7943" max="8192" width="8.625" style="21"/>
    <col min="8193" max="8193" width="2.375" style="21" customWidth="1"/>
    <col min="8194" max="8194" width="18.875" style="21" customWidth="1"/>
    <col min="8195" max="8196" width="30.875" style="21" customWidth="1"/>
    <col min="8197" max="8197" width="13.375" style="21" customWidth="1"/>
    <col min="8198" max="8198" width="32.125" style="21" bestFit="1" customWidth="1"/>
    <col min="8199" max="8448" width="8.625" style="21"/>
    <col min="8449" max="8449" width="2.375" style="21" customWidth="1"/>
    <col min="8450" max="8450" width="18.875" style="21" customWidth="1"/>
    <col min="8451" max="8452" width="30.875" style="21" customWidth="1"/>
    <col min="8453" max="8453" width="13.375" style="21" customWidth="1"/>
    <col min="8454" max="8454" width="32.125" style="21" bestFit="1" customWidth="1"/>
    <col min="8455" max="8704" width="8.625" style="21"/>
    <col min="8705" max="8705" width="2.375" style="21" customWidth="1"/>
    <col min="8706" max="8706" width="18.875" style="21" customWidth="1"/>
    <col min="8707" max="8708" width="30.875" style="21" customWidth="1"/>
    <col min="8709" max="8709" width="13.375" style="21" customWidth="1"/>
    <col min="8710" max="8710" width="32.125" style="21" bestFit="1" customWidth="1"/>
    <col min="8711" max="8960" width="8.625" style="21"/>
    <col min="8961" max="8961" width="2.375" style="21" customWidth="1"/>
    <col min="8962" max="8962" width="18.875" style="21" customWidth="1"/>
    <col min="8963" max="8964" width="30.875" style="21" customWidth="1"/>
    <col min="8965" max="8965" width="13.375" style="21" customWidth="1"/>
    <col min="8966" max="8966" width="32.125" style="21" bestFit="1" customWidth="1"/>
    <col min="8967" max="9216" width="8.625" style="21"/>
    <col min="9217" max="9217" width="2.375" style="21" customWidth="1"/>
    <col min="9218" max="9218" width="18.875" style="21" customWidth="1"/>
    <col min="9219" max="9220" width="30.875" style="21" customWidth="1"/>
    <col min="9221" max="9221" width="13.375" style="21" customWidth="1"/>
    <col min="9222" max="9222" width="32.125" style="21" bestFit="1" customWidth="1"/>
    <col min="9223" max="9472" width="8.625" style="21"/>
    <col min="9473" max="9473" width="2.375" style="21" customWidth="1"/>
    <col min="9474" max="9474" width="18.875" style="21" customWidth="1"/>
    <col min="9475" max="9476" width="30.875" style="21" customWidth="1"/>
    <col min="9477" max="9477" width="13.375" style="21" customWidth="1"/>
    <col min="9478" max="9478" width="32.125" style="21" bestFit="1" customWidth="1"/>
    <col min="9479" max="9728" width="8.625" style="21"/>
    <col min="9729" max="9729" width="2.375" style="21" customWidth="1"/>
    <col min="9730" max="9730" width="18.875" style="21" customWidth="1"/>
    <col min="9731" max="9732" width="30.875" style="21" customWidth="1"/>
    <col min="9733" max="9733" width="13.375" style="21" customWidth="1"/>
    <col min="9734" max="9734" width="32.125" style="21" bestFit="1" customWidth="1"/>
    <col min="9735" max="9984" width="8.625" style="21"/>
    <col min="9985" max="9985" width="2.375" style="21" customWidth="1"/>
    <col min="9986" max="9986" width="18.875" style="21" customWidth="1"/>
    <col min="9987" max="9988" width="30.875" style="21" customWidth="1"/>
    <col min="9989" max="9989" width="13.375" style="21" customWidth="1"/>
    <col min="9990" max="9990" width="32.125" style="21" bestFit="1" customWidth="1"/>
    <col min="9991" max="10240" width="8.625" style="21"/>
    <col min="10241" max="10241" width="2.375" style="21" customWidth="1"/>
    <col min="10242" max="10242" width="18.875" style="21" customWidth="1"/>
    <col min="10243" max="10244" width="30.875" style="21" customWidth="1"/>
    <col min="10245" max="10245" width="13.375" style="21" customWidth="1"/>
    <col min="10246" max="10246" width="32.125" style="21" bestFit="1" customWidth="1"/>
    <col min="10247" max="10496" width="8.625" style="21"/>
    <col min="10497" max="10497" width="2.375" style="21" customWidth="1"/>
    <col min="10498" max="10498" width="18.875" style="21" customWidth="1"/>
    <col min="10499" max="10500" width="30.875" style="21" customWidth="1"/>
    <col min="10501" max="10501" width="13.375" style="21" customWidth="1"/>
    <col min="10502" max="10502" width="32.125" style="21" bestFit="1" customWidth="1"/>
    <col min="10503" max="10752" width="8.625" style="21"/>
    <col min="10753" max="10753" width="2.375" style="21" customWidth="1"/>
    <col min="10754" max="10754" width="18.875" style="21" customWidth="1"/>
    <col min="10755" max="10756" width="30.875" style="21" customWidth="1"/>
    <col min="10757" max="10757" width="13.375" style="21" customWidth="1"/>
    <col min="10758" max="10758" width="32.125" style="21" bestFit="1" customWidth="1"/>
    <col min="10759" max="11008" width="8.625" style="21"/>
    <col min="11009" max="11009" width="2.375" style="21" customWidth="1"/>
    <col min="11010" max="11010" width="18.875" style="21" customWidth="1"/>
    <col min="11011" max="11012" width="30.875" style="21" customWidth="1"/>
    <col min="11013" max="11013" width="13.375" style="21" customWidth="1"/>
    <col min="11014" max="11014" width="32.125" style="21" bestFit="1" customWidth="1"/>
    <col min="11015" max="11264" width="8.625" style="21"/>
    <col min="11265" max="11265" width="2.375" style="21" customWidth="1"/>
    <col min="11266" max="11266" width="18.875" style="21" customWidth="1"/>
    <col min="11267" max="11268" width="30.875" style="21" customWidth="1"/>
    <col min="11269" max="11269" width="13.375" style="21" customWidth="1"/>
    <col min="11270" max="11270" width="32.125" style="21" bestFit="1" customWidth="1"/>
    <col min="11271" max="11520" width="8.625" style="21"/>
    <col min="11521" max="11521" width="2.375" style="21" customWidth="1"/>
    <col min="11522" max="11522" width="18.875" style="21" customWidth="1"/>
    <col min="11523" max="11524" width="30.875" style="21" customWidth="1"/>
    <col min="11525" max="11525" width="13.375" style="21" customWidth="1"/>
    <col min="11526" max="11526" width="32.125" style="21" bestFit="1" customWidth="1"/>
    <col min="11527" max="11776" width="8.625" style="21"/>
    <col min="11777" max="11777" width="2.375" style="21" customWidth="1"/>
    <col min="11778" max="11778" width="18.875" style="21" customWidth="1"/>
    <col min="11779" max="11780" width="30.875" style="21" customWidth="1"/>
    <col min="11781" max="11781" width="13.375" style="21" customWidth="1"/>
    <col min="11782" max="11782" width="32.125" style="21" bestFit="1" customWidth="1"/>
    <col min="11783" max="12032" width="8.625" style="21"/>
    <col min="12033" max="12033" width="2.375" style="21" customWidth="1"/>
    <col min="12034" max="12034" width="18.875" style="21" customWidth="1"/>
    <col min="12035" max="12036" width="30.875" style="21" customWidth="1"/>
    <col min="12037" max="12037" width="13.375" style="21" customWidth="1"/>
    <col min="12038" max="12038" width="32.125" style="21" bestFit="1" customWidth="1"/>
    <col min="12039" max="12288" width="8.625" style="21"/>
    <col min="12289" max="12289" width="2.375" style="21" customWidth="1"/>
    <col min="12290" max="12290" width="18.875" style="21" customWidth="1"/>
    <col min="12291" max="12292" width="30.875" style="21" customWidth="1"/>
    <col min="12293" max="12293" width="13.375" style="21" customWidth="1"/>
    <col min="12294" max="12294" width="32.125" style="21" bestFit="1" customWidth="1"/>
    <col min="12295" max="12544" width="8.625" style="21"/>
    <col min="12545" max="12545" width="2.375" style="21" customWidth="1"/>
    <col min="12546" max="12546" width="18.875" style="21" customWidth="1"/>
    <col min="12547" max="12548" width="30.875" style="21" customWidth="1"/>
    <col min="12549" max="12549" width="13.375" style="21" customWidth="1"/>
    <col min="12550" max="12550" width="32.125" style="21" bestFit="1" customWidth="1"/>
    <col min="12551" max="12800" width="8.625" style="21"/>
    <col min="12801" max="12801" width="2.375" style="21" customWidth="1"/>
    <col min="12802" max="12802" width="18.875" style="21" customWidth="1"/>
    <col min="12803" max="12804" width="30.875" style="21" customWidth="1"/>
    <col min="12805" max="12805" width="13.375" style="21" customWidth="1"/>
    <col min="12806" max="12806" width="32.125" style="21" bestFit="1" customWidth="1"/>
    <col min="12807" max="13056" width="8.625" style="21"/>
    <col min="13057" max="13057" width="2.375" style="21" customWidth="1"/>
    <col min="13058" max="13058" width="18.875" style="21" customWidth="1"/>
    <col min="13059" max="13060" width="30.875" style="21" customWidth="1"/>
    <col min="13061" max="13061" width="13.375" style="21" customWidth="1"/>
    <col min="13062" max="13062" width="32.125" style="21" bestFit="1" customWidth="1"/>
    <col min="13063" max="13312" width="8.625" style="21"/>
    <col min="13313" max="13313" width="2.375" style="21" customWidth="1"/>
    <col min="13314" max="13314" width="18.875" style="21" customWidth="1"/>
    <col min="13315" max="13316" width="30.875" style="21" customWidth="1"/>
    <col min="13317" max="13317" width="13.375" style="21" customWidth="1"/>
    <col min="13318" max="13318" width="32.125" style="21" bestFit="1" customWidth="1"/>
    <col min="13319" max="13568" width="8.625" style="21"/>
    <col min="13569" max="13569" width="2.375" style="21" customWidth="1"/>
    <col min="13570" max="13570" width="18.875" style="21" customWidth="1"/>
    <col min="13571" max="13572" width="30.875" style="21" customWidth="1"/>
    <col min="13573" max="13573" width="13.375" style="21" customWidth="1"/>
    <col min="13574" max="13574" width="32.125" style="21" bestFit="1" customWidth="1"/>
    <col min="13575" max="13824" width="8.625" style="21"/>
    <col min="13825" max="13825" width="2.375" style="21" customWidth="1"/>
    <col min="13826" max="13826" width="18.875" style="21" customWidth="1"/>
    <col min="13827" max="13828" width="30.875" style="21" customWidth="1"/>
    <col min="13829" max="13829" width="13.375" style="21" customWidth="1"/>
    <col min="13830" max="13830" width="32.125" style="21" bestFit="1" customWidth="1"/>
    <col min="13831" max="14080" width="8.625" style="21"/>
    <col min="14081" max="14081" width="2.375" style="21" customWidth="1"/>
    <col min="14082" max="14082" width="18.875" style="21" customWidth="1"/>
    <col min="14083" max="14084" width="30.875" style="21" customWidth="1"/>
    <col min="14085" max="14085" width="13.375" style="21" customWidth="1"/>
    <col min="14086" max="14086" width="32.125" style="21" bestFit="1" customWidth="1"/>
    <col min="14087" max="14336" width="8.625" style="21"/>
    <col min="14337" max="14337" width="2.375" style="21" customWidth="1"/>
    <col min="14338" max="14338" width="18.875" style="21" customWidth="1"/>
    <col min="14339" max="14340" width="30.875" style="21" customWidth="1"/>
    <col min="14341" max="14341" width="13.375" style="21" customWidth="1"/>
    <col min="14342" max="14342" width="32.125" style="21" bestFit="1" customWidth="1"/>
    <col min="14343" max="14592" width="8.625" style="21"/>
    <col min="14593" max="14593" width="2.375" style="21" customWidth="1"/>
    <col min="14594" max="14594" width="18.875" style="21" customWidth="1"/>
    <col min="14595" max="14596" width="30.875" style="21" customWidth="1"/>
    <col min="14597" max="14597" width="13.375" style="21" customWidth="1"/>
    <col min="14598" max="14598" width="32.125" style="21" bestFit="1" customWidth="1"/>
    <col min="14599" max="14848" width="8.625" style="21"/>
    <col min="14849" max="14849" width="2.375" style="21" customWidth="1"/>
    <col min="14850" max="14850" width="18.875" style="21" customWidth="1"/>
    <col min="14851" max="14852" width="30.875" style="21" customWidth="1"/>
    <col min="14853" max="14853" width="13.375" style="21" customWidth="1"/>
    <col min="14854" max="14854" width="32.125" style="21" bestFit="1" customWidth="1"/>
    <col min="14855" max="15104" width="8.625" style="21"/>
    <col min="15105" max="15105" width="2.375" style="21" customWidth="1"/>
    <col min="15106" max="15106" width="18.875" style="21" customWidth="1"/>
    <col min="15107" max="15108" width="30.875" style="21" customWidth="1"/>
    <col min="15109" max="15109" width="13.375" style="21" customWidth="1"/>
    <col min="15110" max="15110" width="32.125" style="21" bestFit="1" customWidth="1"/>
    <col min="15111" max="15360" width="8.625" style="21"/>
    <col min="15361" max="15361" width="2.375" style="21" customWidth="1"/>
    <col min="15362" max="15362" width="18.875" style="21" customWidth="1"/>
    <col min="15363" max="15364" width="30.875" style="21" customWidth="1"/>
    <col min="15365" max="15365" width="13.375" style="21" customWidth="1"/>
    <col min="15366" max="15366" width="32.125" style="21" bestFit="1" customWidth="1"/>
    <col min="15367" max="15616" width="8.625" style="21"/>
    <col min="15617" max="15617" width="2.375" style="21" customWidth="1"/>
    <col min="15618" max="15618" width="18.875" style="21" customWidth="1"/>
    <col min="15619" max="15620" width="30.875" style="21" customWidth="1"/>
    <col min="15621" max="15621" width="13.375" style="21" customWidth="1"/>
    <col min="15622" max="15622" width="32.125" style="21" bestFit="1" customWidth="1"/>
    <col min="15623" max="15872" width="8.625" style="21"/>
    <col min="15873" max="15873" width="2.375" style="21" customWidth="1"/>
    <col min="15874" max="15874" width="18.875" style="21" customWidth="1"/>
    <col min="15875" max="15876" width="30.875" style="21" customWidth="1"/>
    <col min="15877" max="15877" width="13.375" style="21" customWidth="1"/>
    <col min="15878" max="15878" width="32.125" style="21" bestFit="1" customWidth="1"/>
    <col min="15879" max="16128" width="8.625" style="21"/>
    <col min="16129" max="16129" width="2.375" style="21" customWidth="1"/>
    <col min="16130" max="16130" width="18.875" style="21" customWidth="1"/>
    <col min="16131" max="16132" width="30.875" style="21" customWidth="1"/>
    <col min="16133" max="16133" width="13.375" style="21" customWidth="1"/>
    <col min="16134" max="16134" width="32.125" style="21" bestFit="1" customWidth="1"/>
    <col min="16135" max="16384" width="8.625" style="21"/>
  </cols>
  <sheetData>
    <row r="1" spans="1:7" ht="17.100000000000001" customHeight="1" x14ac:dyDescent="0.4">
      <c r="A1" s="21" t="str">
        <f>"令和"&amp;チェックシート!$C$3&amp;"年度"</f>
        <v>令和5年度</v>
      </c>
    </row>
    <row r="2" spans="1:7" ht="17.100000000000001" customHeight="1" x14ac:dyDescent="0.4">
      <c r="A2" s="281" t="str">
        <f>チェックシート!$C$2</f>
        <v>白子町</v>
      </c>
    </row>
    <row r="3" spans="1:7" ht="17.100000000000001" customHeight="1" x14ac:dyDescent="0.4">
      <c r="B3" s="22" t="s">
        <v>367</v>
      </c>
      <c r="F3" s="205" t="s">
        <v>548</v>
      </c>
    </row>
    <row r="4" spans="1:7" ht="17.100000000000001" customHeight="1" x14ac:dyDescent="0.4">
      <c r="B4" s="24" t="s">
        <v>336</v>
      </c>
      <c r="C4" s="24" t="s">
        <v>368</v>
      </c>
      <c r="D4" s="24" t="s">
        <v>369</v>
      </c>
      <c r="E4" s="24" t="s">
        <v>190</v>
      </c>
      <c r="F4" s="24" t="s">
        <v>370</v>
      </c>
    </row>
    <row r="5" spans="1:7" ht="17.100000000000001" customHeight="1" x14ac:dyDescent="0.4">
      <c r="B5" s="35" t="s">
        <v>371</v>
      </c>
      <c r="C5" s="75" t="s">
        <v>75</v>
      </c>
      <c r="D5" s="72" t="s">
        <v>2</v>
      </c>
      <c r="E5" s="73"/>
      <c r="F5" s="72" t="s">
        <v>372</v>
      </c>
    </row>
    <row r="6" spans="1:7" ht="17.100000000000001" customHeight="1" x14ac:dyDescent="0.4">
      <c r="B6" s="74"/>
      <c r="C6" s="75" t="s">
        <v>75</v>
      </c>
      <c r="D6" s="75" t="s">
        <v>0</v>
      </c>
      <c r="E6" s="66"/>
      <c r="F6" s="75" t="s">
        <v>373</v>
      </c>
    </row>
    <row r="7" spans="1:7" ht="17.100000000000001" customHeight="1" x14ac:dyDescent="0.4">
      <c r="B7" s="74"/>
      <c r="C7" s="75" t="s">
        <v>3</v>
      </c>
      <c r="D7" s="75" t="s">
        <v>2</v>
      </c>
      <c r="E7" s="66"/>
      <c r="F7" s="75" t="s">
        <v>374</v>
      </c>
    </row>
    <row r="8" spans="1:7" ht="17.100000000000001" customHeight="1" x14ac:dyDescent="0.4">
      <c r="B8" s="74"/>
      <c r="C8" s="77" t="s">
        <v>0</v>
      </c>
      <c r="D8" s="75" t="s">
        <v>79</v>
      </c>
      <c r="E8" s="66"/>
      <c r="F8" s="75" t="s">
        <v>615</v>
      </c>
    </row>
    <row r="9" spans="1:7" ht="17.100000000000001" customHeight="1" x14ac:dyDescent="0.4">
      <c r="B9" s="76"/>
      <c r="C9" s="77" t="s">
        <v>108</v>
      </c>
      <c r="D9" s="77" t="s">
        <v>0</v>
      </c>
      <c r="E9" s="78"/>
      <c r="F9" s="77" t="s">
        <v>616</v>
      </c>
      <c r="G9" s="281"/>
    </row>
    <row r="10" spans="1:7" ht="17.100000000000001" customHeight="1" x14ac:dyDescent="0.4">
      <c r="B10" s="35" t="s">
        <v>530</v>
      </c>
      <c r="C10" s="79" t="s">
        <v>0</v>
      </c>
      <c r="D10" s="79" t="s">
        <v>27</v>
      </c>
      <c r="E10" s="80">
        <f>資産形成分!L5</f>
        <v>5289816</v>
      </c>
      <c r="F10" s="79" t="s">
        <v>375</v>
      </c>
    </row>
    <row r="11" spans="1:7" ht="17.100000000000001" customHeight="1" x14ac:dyDescent="0.4">
      <c r="B11" s="74"/>
      <c r="C11" s="36" t="s">
        <v>376</v>
      </c>
      <c r="D11" s="36" t="s">
        <v>27</v>
      </c>
      <c r="E11" s="81">
        <f>資産形成分!L6</f>
        <v>0</v>
      </c>
      <c r="F11" s="36" t="s">
        <v>377</v>
      </c>
    </row>
    <row r="12" spans="1:7" ht="17.100000000000001" customHeight="1" x14ac:dyDescent="0.4">
      <c r="B12" s="74"/>
      <c r="C12" s="36" t="s">
        <v>2</v>
      </c>
      <c r="D12" s="36" t="s">
        <v>27</v>
      </c>
      <c r="E12" s="81">
        <f>資産形成分!L7</f>
        <v>113373700</v>
      </c>
      <c r="F12" s="36" t="s">
        <v>378</v>
      </c>
      <c r="G12" s="281"/>
    </row>
    <row r="13" spans="1:7" ht="17.100000000000001" customHeight="1" x14ac:dyDescent="0.4">
      <c r="B13" s="74"/>
      <c r="C13" s="36" t="s">
        <v>4</v>
      </c>
      <c r="D13" s="36" t="s">
        <v>27</v>
      </c>
      <c r="E13" s="81">
        <f>資産形成分!L8</f>
        <v>19661455</v>
      </c>
      <c r="F13" s="36" t="s">
        <v>379</v>
      </c>
    </row>
    <row r="14" spans="1:7" ht="17.100000000000001" customHeight="1" x14ac:dyDescent="0.4">
      <c r="B14" s="74"/>
      <c r="C14" s="36" t="s">
        <v>8</v>
      </c>
      <c r="D14" s="36" t="s">
        <v>27</v>
      </c>
      <c r="E14" s="81">
        <f>資産形成分!L9</f>
        <v>0</v>
      </c>
      <c r="F14" s="36" t="s">
        <v>380</v>
      </c>
    </row>
    <row r="15" spans="1:7" ht="17.100000000000001" customHeight="1" x14ac:dyDescent="0.4">
      <c r="B15" s="74"/>
      <c r="C15" s="36" t="s">
        <v>10</v>
      </c>
      <c r="D15" s="36" t="s">
        <v>27</v>
      </c>
      <c r="E15" s="81">
        <f>資産形成分!L10</f>
        <v>0</v>
      </c>
      <c r="F15" s="36" t="s">
        <v>381</v>
      </c>
    </row>
    <row r="16" spans="1:7" ht="17.100000000000001" customHeight="1" x14ac:dyDescent="0.4">
      <c r="B16" s="74"/>
      <c r="C16" s="36" t="s">
        <v>12</v>
      </c>
      <c r="D16" s="36" t="s">
        <v>27</v>
      </c>
      <c r="E16" s="81">
        <f>資産形成分!L11</f>
        <v>0</v>
      </c>
      <c r="F16" s="36" t="s">
        <v>382</v>
      </c>
    </row>
    <row r="17" spans="2:6" ht="17.100000000000001" customHeight="1" x14ac:dyDescent="0.4">
      <c r="B17" s="74"/>
      <c r="C17" s="36" t="s">
        <v>14</v>
      </c>
      <c r="D17" s="36" t="s">
        <v>27</v>
      </c>
      <c r="E17" s="81">
        <f>資産形成分!L12</f>
        <v>0</v>
      </c>
      <c r="F17" s="36" t="s">
        <v>383</v>
      </c>
    </row>
    <row r="18" spans="2:6" ht="17.100000000000001" customHeight="1" x14ac:dyDescent="0.4">
      <c r="B18" s="74"/>
      <c r="C18" s="36" t="s">
        <v>15</v>
      </c>
      <c r="D18" s="36" t="s">
        <v>27</v>
      </c>
      <c r="E18" s="81">
        <f>資産形成分!L13</f>
        <v>1133340</v>
      </c>
      <c r="F18" s="36" t="s">
        <v>384</v>
      </c>
    </row>
    <row r="19" spans="2:6" ht="17.100000000000001" customHeight="1" x14ac:dyDescent="0.4">
      <c r="B19" s="74"/>
      <c r="C19" s="36" t="s">
        <v>16</v>
      </c>
      <c r="D19" s="36" t="s">
        <v>27</v>
      </c>
      <c r="E19" s="81">
        <f>資産形成分!L14</f>
        <v>0</v>
      </c>
      <c r="F19" s="36" t="s">
        <v>385</v>
      </c>
    </row>
    <row r="20" spans="2:6" ht="17.100000000000001" customHeight="1" x14ac:dyDescent="0.4">
      <c r="B20" s="74"/>
      <c r="C20" s="36" t="s">
        <v>18</v>
      </c>
      <c r="D20" s="36" t="s">
        <v>27</v>
      </c>
      <c r="E20" s="81">
        <f>資産形成分!L15</f>
        <v>141245835</v>
      </c>
      <c r="F20" s="36" t="s">
        <v>386</v>
      </c>
    </row>
    <row r="21" spans="2:6" ht="17.100000000000001" customHeight="1" x14ac:dyDescent="0.4">
      <c r="B21" s="74"/>
      <c r="C21" s="36" t="s">
        <v>20</v>
      </c>
      <c r="D21" s="36" t="s">
        <v>27</v>
      </c>
      <c r="E21" s="81">
        <f>資産形成分!L16</f>
        <v>0</v>
      </c>
      <c r="F21" s="36" t="s">
        <v>387</v>
      </c>
    </row>
    <row r="22" spans="2:6" ht="17.100000000000001" customHeight="1" x14ac:dyDescent="0.4">
      <c r="B22" s="74"/>
      <c r="C22" s="36" t="s">
        <v>22</v>
      </c>
      <c r="D22" s="36" t="s">
        <v>27</v>
      </c>
      <c r="E22" s="81">
        <f>資産形成分!L17</f>
        <v>0</v>
      </c>
      <c r="F22" s="36" t="s">
        <v>388</v>
      </c>
    </row>
    <row r="23" spans="2:6" ht="17.100000000000001" customHeight="1" x14ac:dyDescent="0.4">
      <c r="B23" s="74"/>
      <c r="C23" s="36" t="s">
        <v>23</v>
      </c>
      <c r="D23" s="36" t="s">
        <v>27</v>
      </c>
      <c r="E23" s="81">
        <f>資産形成分!L18</f>
        <v>992200</v>
      </c>
      <c r="F23" s="36" t="s">
        <v>389</v>
      </c>
    </row>
    <row r="24" spans="2:6" ht="17.100000000000001" customHeight="1" x14ac:dyDescent="0.4">
      <c r="B24" s="74"/>
      <c r="C24" s="36" t="s">
        <v>25</v>
      </c>
      <c r="D24" s="36" t="s">
        <v>27</v>
      </c>
      <c r="E24" s="81">
        <f>資産形成分!L19</f>
        <v>1980000</v>
      </c>
      <c r="F24" s="36" t="s">
        <v>390</v>
      </c>
    </row>
    <row r="25" spans="2:6" ht="17.100000000000001" customHeight="1" x14ac:dyDescent="0.4">
      <c r="B25" s="74"/>
      <c r="C25" s="36" t="s">
        <v>26</v>
      </c>
      <c r="D25" s="36" t="s">
        <v>27</v>
      </c>
      <c r="E25" s="81">
        <f>資産形成分!L20</f>
        <v>0</v>
      </c>
      <c r="F25" s="36" t="s">
        <v>391</v>
      </c>
    </row>
    <row r="26" spans="2:6" ht="17.100000000000001" customHeight="1" x14ac:dyDescent="0.4">
      <c r="B26" s="74" t="s">
        <v>614</v>
      </c>
      <c r="C26" s="36" t="s">
        <v>100</v>
      </c>
      <c r="D26" s="36" t="s">
        <v>27</v>
      </c>
      <c r="E26" s="81">
        <f>資産形成分!L21</f>
        <v>0</v>
      </c>
      <c r="F26" s="36" t="s">
        <v>392</v>
      </c>
    </row>
    <row r="27" spans="2:6" ht="17.100000000000001" customHeight="1" x14ac:dyDescent="0.4">
      <c r="B27" s="74"/>
      <c r="C27" s="36" t="s">
        <v>61</v>
      </c>
      <c r="D27" s="36" t="s">
        <v>86</v>
      </c>
      <c r="E27" s="81">
        <f>+E26</f>
        <v>0</v>
      </c>
      <c r="F27" s="36" t="s">
        <v>392</v>
      </c>
    </row>
    <row r="28" spans="2:6" ht="17.100000000000001" customHeight="1" x14ac:dyDescent="0.4">
      <c r="B28" s="74"/>
      <c r="C28" s="36" t="s">
        <v>100</v>
      </c>
      <c r="D28" s="36" t="s">
        <v>27</v>
      </c>
      <c r="E28" s="81">
        <f>資産形成分!L22</f>
        <v>0</v>
      </c>
      <c r="F28" s="36" t="s">
        <v>393</v>
      </c>
    </row>
    <row r="29" spans="2:6" ht="17.100000000000001" customHeight="1" x14ac:dyDescent="0.4">
      <c r="B29" s="74"/>
      <c r="C29" s="36" t="s">
        <v>62</v>
      </c>
      <c r="D29" s="36" t="s">
        <v>86</v>
      </c>
      <c r="E29" s="81">
        <f>+E28</f>
        <v>0</v>
      </c>
      <c r="F29" s="36" t="s">
        <v>393</v>
      </c>
    </row>
    <row r="30" spans="2:6" ht="17.100000000000001" customHeight="1" x14ac:dyDescent="0.4">
      <c r="B30" s="74"/>
      <c r="C30" s="36" t="s">
        <v>100</v>
      </c>
      <c r="D30" s="36" t="s">
        <v>27</v>
      </c>
      <c r="E30" s="81">
        <f>資産形成分!L23</f>
        <v>0</v>
      </c>
      <c r="F30" s="36" t="s">
        <v>394</v>
      </c>
    </row>
    <row r="31" spans="2:6" ht="17.100000000000001" customHeight="1" x14ac:dyDescent="0.4">
      <c r="B31" s="76"/>
      <c r="C31" s="37" t="s">
        <v>395</v>
      </c>
      <c r="D31" s="37" t="s">
        <v>396</v>
      </c>
      <c r="E31" s="82">
        <f>+E30</f>
        <v>0</v>
      </c>
      <c r="F31" s="37" t="s">
        <v>394</v>
      </c>
    </row>
    <row r="32" spans="2:6" ht="17.100000000000001" customHeight="1" x14ac:dyDescent="0.4">
      <c r="B32" s="35" t="s">
        <v>617</v>
      </c>
      <c r="C32" s="72" t="s">
        <v>0</v>
      </c>
      <c r="D32" s="316" t="s">
        <v>540</v>
      </c>
      <c r="E32" s="73">
        <v>7079214</v>
      </c>
      <c r="F32" s="72" t="s">
        <v>676</v>
      </c>
    </row>
    <row r="33" spans="2:7" ht="17.100000000000001" customHeight="1" x14ac:dyDescent="0.4">
      <c r="B33" s="74"/>
      <c r="C33" s="320" t="s">
        <v>2</v>
      </c>
      <c r="D33" s="316" t="s">
        <v>540</v>
      </c>
      <c r="E33" s="88">
        <f>6287414+87410691</f>
        <v>93698105</v>
      </c>
      <c r="F33" s="72" t="s">
        <v>676</v>
      </c>
    </row>
    <row r="34" spans="2:7" ht="17.100000000000001" customHeight="1" x14ac:dyDescent="0.4">
      <c r="B34" s="74"/>
      <c r="C34" s="316" t="s">
        <v>4</v>
      </c>
      <c r="D34" s="316" t="s">
        <v>540</v>
      </c>
      <c r="E34" s="73">
        <f>14932183-5299532</f>
        <v>9632651</v>
      </c>
      <c r="F34" s="72" t="s">
        <v>676</v>
      </c>
      <c r="G34" s="281"/>
    </row>
    <row r="35" spans="2:7" ht="17.100000000000001" customHeight="1" x14ac:dyDescent="0.4">
      <c r="B35" s="74"/>
      <c r="C35" s="316" t="s">
        <v>15</v>
      </c>
      <c r="D35" s="316" t="s">
        <v>540</v>
      </c>
      <c r="E35" s="66">
        <v>349893</v>
      </c>
      <c r="F35" s="72" t="s">
        <v>676</v>
      </c>
    </row>
    <row r="36" spans="2:7" ht="17.100000000000001" customHeight="1" x14ac:dyDescent="0.4">
      <c r="B36" s="74"/>
      <c r="C36" s="316" t="s">
        <v>540</v>
      </c>
      <c r="D36" s="316" t="s">
        <v>16</v>
      </c>
      <c r="E36" s="66">
        <f>12518000+1747410</f>
        <v>14265410</v>
      </c>
      <c r="F36" s="72" t="s">
        <v>676</v>
      </c>
    </row>
    <row r="37" spans="2:7" ht="17.100000000000001" customHeight="1" x14ac:dyDescent="0.4">
      <c r="B37" s="74"/>
      <c r="C37" s="75" t="s">
        <v>18</v>
      </c>
      <c r="D37" s="316" t="s">
        <v>540</v>
      </c>
      <c r="E37" s="66">
        <f>12521943-6601832</f>
        <v>5920111</v>
      </c>
      <c r="F37" s="72" t="s">
        <v>676</v>
      </c>
    </row>
    <row r="38" spans="2:7" ht="17.100000000000001" customHeight="1" x14ac:dyDescent="0.4">
      <c r="B38" s="74"/>
      <c r="C38" s="75" t="s">
        <v>23</v>
      </c>
      <c r="D38" s="316" t="s">
        <v>540</v>
      </c>
      <c r="E38" s="66">
        <v>121627</v>
      </c>
      <c r="F38" s="72" t="s">
        <v>676</v>
      </c>
    </row>
    <row r="39" spans="2:7" ht="17.100000000000001" customHeight="1" x14ac:dyDescent="0.4">
      <c r="B39" s="74"/>
      <c r="C39" s="316" t="s">
        <v>27</v>
      </c>
      <c r="D39" s="75" t="s">
        <v>100</v>
      </c>
      <c r="E39" s="66"/>
      <c r="F39" s="75" t="s">
        <v>398</v>
      </c>
    </row>
    <row r="40" spans="2:7" ht="17.100000000000001" customHeight="1" x14ac:dyDescent="0.4">
      <c r="B40" s="74"/>
      <c r="C40" s="315" t="s">
        <v>75</v>
      </c>
      <c r="D40" s="72" t="s">
        <v>0</v>
      </c>
      <c r="E40" s="73">
        <v>884086</v>
      </c>
      <c r="F40" s="72" t="s">
        <v>399</v>
      </c>
    </row>
    <row r="41" spans="2:7" ht="17.100000000000001" customHeight="1" x14ac:dyDescent="0.4">
      <c r="B41" s="300"/>
      <c r="C41" s="321" t="s">
        <v>3</v>
      </c>
      <c r="D41" s="75" t="s">
        <v>2</v>
      </c>
      <c r="E41" s="66"/>
      <c r="F41" s="75" t="s">
        <v>399</v>
      </c>
    </row>
    <row r="42" spans="2:7" ht="17.100000000000001" customHeight="1" x14ac:dyDescent="0.4">
      <c r="B42" s="74"/>
      <c r="C42" s="75" t="s">
        <v>75</v>
      </c>
      <c r="D42" s="75" t="s">
        <v>23</v>
      </c>
      <c r="E42" s="66"/>
      <c r="F42" s="75" t="s">
        <v>399</v>
      </c>
    </row>
    <row r="43" spans="2:7" ht="17.100000000000001" customHeight="1" x14ac:dyDescent="0.4">
      <c r="B43" s="74"/>
      <c r="C43" s="318" t="s">
        <v>24</v>
      </c>
      <c r="D43" s="83" t="s">
        <v>23</v>
      </c>
      <c r="E43" s="84"/>
      <c r="F43" s="83" t="s">
        <v>399</v>
      </c>
    </row>
    <row r="44" spans="2:7" ht="17.100000000000001" customHeight="1" x14ac:dyDescent="0.4">
      <c r="B44" s="74"/>
      <c r="C44" s="315" t="s">
        <v>84</v>
      </c>
      <c r="D44" s="72" t="s">
        <v>23</v>
      </c>
      <c r="E44" s="73"/>
      <c r="F44" s="72" t="s">
        <v>618</v>
      </c>
    </row>
    <row r="45" spans="2:7" ht="17.100000000000001" customHeight="1" x14ac:dyDescent="0.4">
      <c r="B45" s="74"/>
      <c r="C45" s="317" t="s">
        <v>3</v>
      </c>
      <c r="D45" s="77" t="s">
        <v>2</v>
      </c>
      <c r="E45" s="78">
        <v>87410691</v>
      </c>
      <c r="F45" s="77" t="s">
        <v>618</v>
      </c>
    </row>
    <row r="46" spans="2:7" ht="17.100000000000001" customHeight="1" x14ac:dyDescent="0.4">
      <c r="B46" s="74"/>
      <c r="C46" s="318" t="s">
        <v>4</v>
      </c>
      <c r="D46" s="83" t="s">
        <v>5</v>
      </c>
      <c r="E46" s="84">
        <v>5299532</v>
      </c>
      <c r="F46" s="72" t="s">
        <v>400</v>
      </c>
    </row>
    <row r="47" spans="2:7" ht="17.100000000000001" customHeight="1" x14ac:dyDescent="0.4">
      <c r="B47" s="74"/>
      <c r="C47" s="72" t="s">
        <v>16</v>
      </c>
      <c r="D47" s="72" t="s">
        <v>17</v>
      </c>
      <c r="E47" s="73">
        <v>1747410</v>
      </c>
      <c r="F47" s="72" t="s">
        <v>400</v>
      </c>
    </row>
    <row r="48" spans="2:7" ht="17.100000000000001" customHeight="1" x14ac:dyDescent="0.4">
      <c r="B48" s="74"/>
      <c r="C48" s="316" t="s">
        <v>18</v>
      </c>
      <c r="D48" s="316" t="s">
        <v>19</v>
      </c>
      <c r="E48" s="66">
        <v>6601832</v>
      </c>
      <c r="F48" s="75" t="s">
        <v>401</v>
      </c>
    </row>
    <row r="49" spans="2:6" ht="17.100000000000001" customHeight="1" x14ac:dyDescent="0.4">
      <c r="B49" s="74"/>
      <c r="C49" s="319" t="s">
        <v>24</v>
      </c>
      <c r="D49" s="85" t="s">
        <v>23</v>
      </c>
      <c r="E49" s="86">
        <v>1382425</v>
      </c>
      <c r="F49" s="85" t="s">
        <v>401</v>
      </c>
    </row>
    <row r="50" spans="2:6" ht="17.100000000000001" customHeight="1" x14ac:dyDescent="0.4">
      <c r="B50" s="74"/>
      <c r="C50" s="317" t="s">
        <v>63</v>
      </c>
      <c r="D50" s="77" t="s">
        <v>25</v>
      </c>
      <c r="E50" s="78"/>
      <c r="F50" s="77" t="s">
        <v>402</v>
      </c>
    </row>
    <row r="51" spans="2:6" ht="17.100000000000001" customHeight="1" x14ac:dyDescent="0.4">
      <c r="B51" s="74" t="s">
        <v>620</v>
      </c>
      <c r="C51" s="315" t="s">
        <v>63</v>
      </c>
      <c r="D51" s="72" t="s">
        <v>3</v>
      </c>
      <c r="E51" s="73">
        <v>187457838</v>
      </c>
      <c r="F51" s="72" t="s">
        <v>403</v>
      </c>
    </row>
    <row r="52" spans="2:6" ht="17.100000000000001" customHeight="1" x14ac:dyDescent="0.4">
      <c r="B52" s="74"/>
      <c r="C52" s="316" t="s">
        <v>63</v>
      </c>
      <c r="D52" s="75" t="s">
        <v>5</v>
      </c>
      <c r="E52" s="66">
        <v>60504571</v>
      </c>
      <c r="F52" s="75" t="s">
        <v>403</v>
      </c>
    </row>
    <row r="53" spans="2:6" ht="17.100000000000001" customHeight="1" x14ac:dyDescent="0.4">
      <c r="B53" s="74"/>
      <c r="C53" s="316" t="s">
        <v>63</v>
      </c>
      <c r="D53" s="75" t="s">
        <v>7</v>
      </c>
      <c r="E53" s="66"/>
      <c r="F53" s="75" t="s">
        <v>403</v>
      </c>
    </row>
    <row r="54" spans="2:6" ht="17.100000000000001" customHeight="1" x14ac:dyDescent="0.4">
      <c r="B54" s="74"/>
      <c r="C54" s="316" t="s">
        <v>63</v>
      </c>
      <c r="D54" s="75" t="s">
        <v>9</v>
      </c>
      <c r="E54" s="66"/>
      <c r="F54" s="75" t="s">
        <v>403</v>
      </c>
    </row>
    <row r="55" spans="2:6" ht="17.100000000000001" customHeight="1" x14ac:dyDescent="0.4">
      <c r="B55" s="74"/>
      <c r="C55" s="316" t="s">
        <v>63</v>
      </c>
      <c r="D55" s="75" t="s">
        <v>11</v>
      </c>
      <c r="E55" s="66"/>
      <c r="F55" s="75" t="s">
        <v>403</v>
      </c>
    </row>
    <row r="56" spans="2:6" ht="17.100000000000001" customHeight="1" x14ac:dyDescent="0.4">
      <c r="B56" s="74"/>
      <c r="C56" s="316" t="s">
        <v>63</v>
      </c>
      <c r="D56" s="75" t="s">
        <v>13</v>
      </c>
      <c r="E56" s="66"/>
      <c r="F56" s="75" t="s">
        <v>403</v>
      </c>
    </row>
    <row r="57" spans="2:6" ht="17.100000000000001" customHeight="1" x14ac:dyDescent="0.4">
      <c r="B57" s="74"/>
      <c r="C57" s="316" t="s">
        <v>63</v>
      </c>
      <c r="D57" s="75" t="s">
        <v>17</v>
      </c>
      <c r="E57" s="66">
        <v>46324932</v>
      </c>
      <c r="F57" s="75" t="s">
        <v>403</v>
      </c>
    </row>
    <row r="58" spans="2:6" ht="17.100000000000001" customHeight="1" x14ac:dyDescent="0.4">
      <c r="B58" s="74"/>
      <c r="C58" s="316" t="s">
        <v>63</v>
      </c>
      <c r="D58" s="75" t="s">
        <v>19</v>
      </c>
      <c r="E58" s="66">
        <v>177417656</v>
      </c>
      <c r="F58" s="75" t="s">
        <v>403</v>
      </c>
    </row>
    <row r="59" spans="2:6" ht="17.100000000000001" customHeight="1" x14ac:dyDescent="0.4">
      <c r="B59" s="74"/>
      <c r="C59" s="316" t="s">
        <v>63</v>
      </c>
      <c r="D59" s="75" t="s">
        <v>21</v>
      </c>
      <c r="E59" s="66"/>
      <c r="F59" s="75" t="s">
        <v>403</v>
      </c>
    </row>
    <row r="60" spans="2:6" ht="17.100000000000001" customHeight="1" x14ac:dyDescent="0.4">
      <c r="B60" s="74"/>
      <c r="C60" s="316" t="s">
        <v>63</v>
      </c>
      <c r="D60" s="75" t="s">
        <v>24</v>
      </c>
      <c r="E60" s="66">
        <v>14943792</v>
      </c>
      <c r="F60" s="75" t="s">
        <v>403</v>
      </c>
    </row>
    <row r="61" spans="2:6" ht="17.100000000000001" customHeight="1" x14ac:dyDescent="0.4">
      <c r="B61" s="74"/>
      <c r="C61" s="316" t="s">
        <v>63</v>
      </c>
      <c r="D61" s="75" t="s">
        <v>25</v>
      </c>
      <c r="E61" s="66">
        <v>13218866</v>
      </c>
      <c r="F61" s="75" t="s">
        <v>403</v>
      </c>
    </row>
    <row r="62" spans="2:6" ht="17.100000000000001" customHeight="1" x14ac:dyDescent="0.4">
      <c r="B62" s="74"/>
      <c r="C62" s="317" t="s">
        <v>63</v>
      </c>
      <c r="D62" s="77" t="s">
        <v>26</v>
      </c>
      <c r="E62" s="78"/>
      <c r="F62" s="77" t="s">
        <v>403</v>
      </c>
    </row>
    <row r="63" spans="2:6" ht="17.100000000000001" customHeight="1" x14ac:dyDescent="0.4">
      <c r="B63" s="74"/>
      <c r="C63" s="315" t="s">
        <v>2</v>
      </c>
      <c r="D63" s="72" t="s">
        <v>14</v>
      </c>
      <c r="E63" s="73"/>
      <c r="F63" s="72" t="s">
        <v>404</v>
      </c>
    </row>
    <row r="64" spans="2:6" ht="17.100000000000001" customHeight="1" x14ac:dyDescent="0.4">
      <c r="B64" s="74"/>
      <c r="C64" s="316" t="s">
        <v>4</v>
      </c>
      <c r="D64" s="75" t="s">
        <v>14</v>
      </c>
      <c r="E64" s="66"/>
      <c r="F64" s="75" t="s">
        <v>404</v>
      </c>
    </row>
    <row r="65" spans="2:7" ht="17.100000000000001" customHeight="1" x14ac:dyDescent="0.4">
      <c r="B65" s="74"/>
      <c r="C65" s="316" t="s">
        <v>16</v>
      </c>
      <c r="D65" s="75" t="s">
        <v>14</v>
      </c>
      <c r="E65" s="66"/>
      <c r="F65" s="75" t="s">
        <v>404</v>
      </c>
    </row>
    <row r="66" spans="2:7" ht="17.100000000000001" customHeight="1" x14ac:dyDescent="0.4">
      <c r="B66" s="74"/>
      <c r="C66" s="316" t="s">
        <v>18</v>
      </c>
      <c r="D66" s="75" t="s">
        <v>14</v>
      </c>
      <c r="E66" s="66"/>
      <c r="F66" s="75" t="s">
        <v>404</v>
      </c>
    </row>
    <row r="67" spans="2:7" ht="17.100000000000001" customHeight="1" x14ac:dyDescent="0.4">
      <c r="B67" s="74"/>
      <c r="C67" s="315" t="s">
        <v>4</v>
      </c>
      <c r="D67" s="72" t="s">
        <v>48</v>
      </c>
      <c r="E67" s="73"/>
      <c r="F67" s="72" t="s">
        <v>619</v>
      </c>
    </row>
    <row r="68" spans="2:7" ht="17.100000000000001" customHeight="1" x14ac:dyDescent="0.4">
      <c r="B68" s="74"/>
      <c r="C68" s="316" t="s">
        <v>18</v>
      </c>
      <c r="D68" s="75" t="s">
        <v>48</v>
      </c>
      <c r="E68" s="66"/>
      <c r="F68" s="75" t="s">
        <v>338</v>
      </c>
    </row>
    <row r="69" spans="2:7" ht="17.100000000000001" customHeight="1" x14ac:dyDescent="0.4">
      <c r="B69" s="74"/>
      <c r="C69" s="317" t="s">
        <v>23</v>
      </c>
      <c r="D69" s="77" t="s">
        <v>48</v>
      </c>
      <c r="E69" s="78"/>
      <c r="F69" s="77" t="s">
        <v>338</v>
      </c>
    </row>
    <row r="70" spans="2:7" ht="17.100000000000001" customHeight="1" x14ac:dyDescent="0.4">
      <c r="B70" s="74" t="s">
        <v>255</v>
      </c>
      <c r="C70" s="315" t="s">
        <v>86</v>
      </c>
      <c r="D70" s="72" t="s">
        <v>61</v>
      </c>
      <c r="E70" s="73"/>
      <c r="F70" s="72" t="s">
        <v>405</v>
      </c>
    </row>
    <row r="71" spans="2:7" ht="17.100000000000001" customHeight="1" x14ac:dyDescent="0.4">
      <c r="B71" s="74"/>
      <c r="C71" s="316" t="s">
        <v>406</v>
      </c>
      <c r="D71" s="75" t="s">
        <v>111</v>
      </c>
      <c r="E71" s="66"/>
      <c r="F71" s="75" t="s">
        <v>405</v>
      </c>
    </row>
    <row r="72" spans="2:7" ht="17.100000000000001" customHeight="1" x14ac:dyDescent="0.4">
      <c r="B72" s="74"/>
      <c r="C72" s="316" t="s">
        <v>86</v>
      </c>
      <c r="D72" s="75" t="s">
        <v>61</v>
      </c>
      <c r="E72" s="66"/>
      <c r="F72" s="75" t="s">
        <v>405</v>
      </c>
    </row>
    <row r="73" spans="2:7" ht="17.100000000000001" customHeight="1" x14ac:dyDescent="0.4">
      <c r="B73" s="74"/>
      <c r="C73" s="316" t="s">
        <v>65</v>
      </c>
      <c r="D73" s="75" t="s">
        <v>87</v>
      </c>
      <c r="E73" s="66"/>
      <c r="F73" s="75" t="s">
        <v>405</v>
      </c>
    </row>
    <row r="74" spans="2:7" ht="17.100000000000001" customHeight="1" x14ac:dyDescent="0.4">
      <c r="B74" s="74" t="s">
        <v>397</v>
      </c>
      <c r="C74" s="315" t="s">
        <v>32</v>
      </c>
      <c r="D74" s="72" t="s">
        <v>37</v>
      </c>
      <c r="E74" s="73">
        <v>27548914</v>
      </c>
      <c r="F74" s="72" t="s">
        <v>407</v>
      </c>
    </row>
    <row r="75" spans="2:7" ht="17.100000000000001" customHeight="1" x14ac:dyDescent="0.4">
      <c r="B75" s="74"/>
      <c r="C75" s="316" t="s">
        <v>36</v>
      </c>
      <c r="D75" s="75" t="s">
        <v>32</v>
      </c>
      <c r="E75" s="66">
        <v>4780740</v>
      </c>
      <c r="F75" s="75" t="s">
        <v>408</v>
      </c>
      <c r="G75" s="281"/>
    </row>
    <row r="76" spans="2:7" ht="17.100000000000001" customHeight="1" x14ac:dyDescent="0.4">
      <c r="B76" s="74"/>
      <c r="C76" s="316" t="s">
        <v>67</v>
      </c>
      <c r="D76" s="75" t="s">
        <v>32</v>
      </c>
      <c r="E76" s="66">
        <v>2714992</v>
      </c>
      <c r="F76" s="75" t="s">
        <v>409</v>
      </c>
      <c r="G76" s="281"/>
    </row>
    <row r="77" spans="2:7" ht="17.100000000000001" customHeight="1" x14ac:dyDescent="0.4">
      <c r="B77" s="74"/>
      <c r="C77" s="316" t="s">
        <v>81</v>
      </c>
      <c r="D77" s="75" t="s">
        <v>32</v>
      </c>
      <c r="E77" s="66">
        <v>25092046</v>
      </c>
      <c r="F77" s="75" t="s">
        <v>410</v>
      </c>
      <c r="G77" s="281"/>
    </row>
    <row r="78" spans="2:7" ht="17.100000000000001" customHeight="1" x14ac:dyDescent="0.4">
      <c r="B78" s="74"/>
      <c r="C78" s="316" t="s">
        <v>72</v>
      </c>
      <c r="D78" s="75" t="s">
        <v>32</v>
      </c>
      <c r="E78" s="66"/>
      <c r="F78" s="75" t="s">
        <v>411</v>
      </c>
    </row>
    <row r="79" spans="2:7" ht="17.100000000000001" customHeight="1" x14ac:dyDescent="0.4">
      <c r="B79" s="74"/>
      <c r="C79" s="316" t="s">
        <v>73</v>
      </c>
      <c r="D79" s="75" t="s">
        <v>32</v>
      </c>
      <c r="E79" s="66"/>
      <c r="F79" s="75" t="s">
        <v>411</v>
      </c>
    </row>
    <row r="80" spans="2:7" ht="17.100000000000001" customHeight="1" x14ac:dyDescent="0.4">
      <c r="B80" s="74"/>
      <c r="C80" s="316" t="s">
        <v>43</v>
      </c>
      <c r="D80" s="316" t="s">
        <v>37</v>
      </c>
      <c r="E80" s="66">
        <v>88800</v>
      </c>
      <c r="F80" s="75" t="s">
        <v>412</v>
      </c>
    </row>
    <row r="81" spans="2:7" ht="17.100000000000001" customHeight="1" x14ac:dyDescent="0.4">
      <c r="B81" s="74"/>
      <c r="C81" s="316" t="s">
        <v>66</v>
      </c>
      <c r="D81" s="75" t="s">
        <v>43</v>
      </c>
      <c r="E81" s="66">
        <v>1170223</v>
      </c>
      <c r="F81" s="75" t="s">
        <v>413</v>
      </c>
    </row>
    <row r="82" spans="2:7" ht="17.100000000000001" customHeight="1" x14ac:dyDescent="0.4">
      <c r="B82" s="74"/>
      <c r="C82" s="317" t="s">
        <v>66</v>
      </c>
      <c r="D82" s="77" t="s">
        <v>36</v>
      </c>
      <c r="E82" s="78">
        <v>4828911</v>
      </c>
      <c r="F82" s="77" t="s">
        <v>413</v>
      </c>
    </row>
    <row r="83" spans="2:7" ht="17.100000000000001" customHeight="1" x14ac:dyDescent="0.4">
      <c r="B83" s="74"/>
      <c r="C83" s="315" t="s">
        <v>32</v>
      </c>
      <c r="D83" s="72" t="s">
        <v>81</v>
      </c>
      <c r="E83" s="73"/>
      <c r="F83" s="72" t="s">
        <v>414</v>
      </c>
    </row>
    <row r="84" spans="2:7" ht="17.100000000000001" customHeight="1" x14ac:dyDescent="0.4">
      <c r="B84" s="74"/>
      <c r="C84" s="316" t="s">
        <v>32</v>
      </c>
      <c r="D84" s="75" t="s">
        <v>72</v>
      </c>
      <c r="E84" s="66"/>
      <c r="F84" s="75" t="s">
        <v>414</v>
      </c>
    </row>
    <row r="85" spans="2:7" ht="17.100000000000001" customHeight="1" x14ac:dyDescent="0.4">
      <c r="B85" s="74"/>
      <c r="C85" s="316" t="s">
        <v>32</v>
      </c>
      <c r="D85" s="75" t="s">
        <v>73</v>
      </c>
      <c r="E85" s="66"/>
      <c r="F85" s="75" t="s">
        <v>414</v>
      </c>
    </row>
    <row r="86" spans="2:7" ht="17.100000000000001" customHeight="1" x14ac:dyDescent="0.4">
      <c r="B86" s="74"/>
      <c r="C86" s="316" t="s">
        <v>37</v>
      </c>
      <c r="D86" s="75" t="s">
        <v>81</v>
      </c>
      <c r="E86" s="66">
        <v>25000000</v>
      </c>
      <c r="F86" s="75" t="s">
        <v>414</v>
      </c>
    </row>
    <row r="87" spans="2:7" ht="17.100000000000001" customHeight="1" x14ac:dyDescent="0.4">
      <c r="B87" s="74"/>
      <c r="C87" s="316" t="s">
        <v>37</v>
      </c>
      <c r="D87" s="75" t="s">
        <v>72</v>
      </c>
      <c r="E87" s="66">
        <v>88800</v>
      </c>
      <c r="F87" s="75" t="s">
        <v>414</v>
      </c>
    </row>
    <row r="88" spans="2:7" ht="17.100000000000001" customHeight="1" x14ac:dyDescent="0.4">
      <c r="B88" s="74"/>
      <c r="C88" s="317" t="s">
        <v>37</v>
      </c>
      <c r="D88" s="77" t="s">
        <v>73</v>
      </c>
      <c r="E88" s="66">
        <v>26338300</v>
      </c>
      <c r="F88" s="77" t="s">
        <v>414</v>
      </c>
    </row>
    <row r="89" spans="2:7" ht="17.100000000000001" customHeight="1" x14ac:dyDescent="0.4">
      <c r="B89" s="74"/>
      <c r="C89" s="320" t="s">
        <v>50</v>
      </c>
      <c r="D89" s="87" t="s">
        <v>67</v>
      </c>
      <c r="E89" s="88"/>
      <c r="F89" s="87" t="s">
        <v>636</v>
      </c>
      <c r="G89" s="281">
        <f>E89-E90</f>
        <v>0</v>
      </c>
    </row>
    <row r="90" spans="2:7" ht="17.100000000000001" customHeight="1" x14ac:dyDescent="0.4">
      <c r="B90" s="74"/>
      <c r="C90" s="320" t="s">
        <v>45</v>
      </c>
      <c r="D90" s="320" t="s">
        <v>50</v>
      </c>
      <c r="E90" s="88"/>
      <c r="F90" s="87" t="s">
        <v>637</v>
      </c>
    </row>
    <row r="91" spans="2:7" ht="17.100000000000001" customHeight="1" x14ac:dyDescent="0.4">
      <c r="B91" s="74"/>
      <c r="C91" s="315" t="s">
        <v>44</v>
      </c>
      <c r="D91" s="72" t="s">
        <v>49</v>
      </c>
      <c r="E91" s="73"/>
      <c r="F91" s="72" t="s">
        <v>415</v>
      </c>
      <c r="G91" s="328"/>
    </row>
    <row r="92" spans="2:7" ht="17.100000000000001" customHeight="1" x14ac:dyDescent="0.4">
      <c r="B92" s="74"/>
      <c r="C92" s="317" t="s">
        <v>44</v>
      </c>
      <c r="D92" s="77" t="s">
        <v>49</v>
      </c>
      <c r="E92" s="78">
        <v>356523262</v>
      </c>
      <c r="F92" s="77" t="s">
        <v>581</v>
      </c>
    </row>
    <row r="93" spans="2:7" ht="17.100000000000001" customHeight="1" x14ac:dyDescent="0.4">
      <c r="B93" s="74"/>
      <c r="C93" s="315" t="s">
        <v>54</v>
      </c>
      <c r="D93" s="72" t="s">
        <v>57</v>
      </c>
      <c r="E93" s="73"/>
      <c r="F93" s="72" t="s">
        <v>416</v>
      </c>
      <c r="G93" s="328"/>
    </row>
    <row r="94" spans="2:7" ht="17.100000000000001" customHeight="1" x14ac:dyDescent="0.4">
      <c r="B94" s="74"/>
      <c r="C94" s="317" t="s">
        <v>58</v>
      </c>
      <c r="D94" s="77" t="s">
        <v>54</v>
      </c>
      <c r="E94" s="78">
        <v>30406689</v>
      </c>
      <c r="F94" s="77" t="s">
        <v>417</v>
      </c>
    </row>
    <row r="95" spans="2:7" ht="17.100000000000001" customHeight="1" x14ac:dyDescent="0.4">
      <c r="B95" s="74"/>
      <c r="C95" s="315" t="s">
        <v>46</v>
      </c>
      <c r="D95" s="72" t="s">
        <v>57</v>
      </c>
      <c r="E95" s="73"/>
      <c r="F95" s="72" t="s">
        <v>626</v>
      </c>
    </row>
    <row r="96" spans="2:7" ht="17.100000000000001" customHeight="1" x14ac:dyDescent="0.4">
      <c r="B96" s="74"/>
      <c r="C96" s="320" t="s">
        <v>59</v>
      </c>
      <c r="D96" s="87" t="s">
        <v>46</v>
      </c>
      <c r="E96" s="88"/>
      <c r="F96" s="87" t="s">
        <v>627</v>
      </c>
    </row>
    <row r="97" spans="2:6" ht="17.100000000000001" customHeight="1" x14ac:dyDescent="0.4">
      <c r="B97" s="74"/>
      <c r="C97" s="317" t="s">
        <v>46</v>
      </c>
      <c r="D97" s="77" t="s">
        <v>73</v>
      </c>
      <c r="E97" s="78">
        <v>52323000</v>
      </c>
      <c r="F97" s="77" t="s">
        <v>418</v>
      </c>
    </row>
    <row r="98" spans="2:6" ht="17.100000000000001" customHeight="1" x14ac:dyDescent="0.4">
      <c r="B98" s="74"/>
      <c r="C98" s="315" t="s">
        <v>114</v>
      </c>
      <c r="D98" s="72" t="s">
        <v>55</v>
      </c>
      <c r="E98" s="78">
        <v>52058814</v>
      </c>
      <c r="F98" s="72" t="s">
        <v>624</v>
      </c>
    </row>
    <row r="99" spans="2:6" ht="17.100000000000001" customHeight="1" x14ac:dyDescent="0.4">
      <c r="B99" s="74"/>
      <c r="C99" s="317" t="s">
        <v>55</v>
      </c>
      <c r="D99" s="77" t="s">
        <v>114</v>
      </c>
      <c r="E99" s="78"/>
      <c r="F99" s="77" t="s">
        <v>625</v>
      </c>
    </row>
    <row r="100" spans="2:6" ht="17.100000000000001" customHeight="1" x14ac:dyDescent="0.4">
      <c r="B100" s="74"/>
      <c r="C100" s="316" t="s">
        <v>72</v>
      </c>
      <c r="D100" s="75" t="s">
        <v>37</v>
      </c>
      <c r="E100" s="66"/>
      <c r="F100" s="75" t="s">
        <v>628</v>
      </c>
    </row>
    <row r="101" spans="2:6" ht="17.100000000000001" customHeight="1" x14ac:dyDescent="0.4">
      <c r="B101" s="74"/>
      <c r="C101" s="316" t="s">
        <v>73</v>
      </c>
      <c r="D101" s="75" t="s">
        <v>37</v>
      </c>
      <c r="E101" s="66"/>
      <c r="F101" s="75" t="s">
        <v>628</v>
      </c>
    </row>
    <row r="102" spans="2:6" ht="17.100000000000001" customHeight="1" x14ac:dyDescent="0.4">
      <c r="B102" s="74"/>
      <c r="C102" s="316" t="s">
        <v>39</v>
      </c>
      <c r="D102" s="75" t="s">
        <v>80</v>
      </c>
      <c r="E102" s="66"/>
      <c r="F102" s="75"/>
    </row>
    <row r="103" spans="2:6" ht="17.100000000000001" customHeight="1" x14ac:dyDescent="0.4">
      <c r="B103" s="74"/>
      <c r="C103" s="316" t="s">
        <v>35</v>
      </c>
      <c r="D103" s="75" t="s">
        <v>80</v>
      </c>
      <c r="E103" s="66"/>
      <c r="F103" s="75"/>
    </row>
    <row r="104" spans="2:6" ht="17.100000000000001" customHeight="1" x14ac:dyDescent="0.4">
      <c r="B104" s="76"/>
      <c r="C104" s="317" t="s">
        <v>44</v>
      </c>
      <c r="D104" s="77" t="s">
        <v>623</v>
      </c>
      <c r="E104" s="78"/>
      <c r="F104" s="77"/>
    </row>
    <row r="106" spans="2:6" ht="17.100000000000001" customHeight="1" x14ac:dyDescent="0.4">
      <c r="E106" s="328"/>
    </row>
    <row r="107" spans="2:6" ht="17.100000000000001" customHeight="1" x14ac:dyDescent="0.4">
      <c r="E107" s="328"/>
    </row>
    <row r="109" spans="2:6" ht="17.100000000000001" customHeight="1" x14ac:dyDescent="0.4">
      <c r="E109" s="328"/>
    </row>
    <row r="110" spans="2:6" ht="17.100000000000001" customHeight="1" x14ac:dyDescent="0.4">
      <c r="E110" s="328"/>
    </row>
    <row r="111" spans="2:6" ht="17.100000000000001" customHeight="1" x14ac:dyDescent="0.4">
      <c r="E111" s="328"/>
    </row>
  </sheetData>
  <phoneticPr fontId="1"/>
  <dataValidations count="1">
    <dataValidation type="list" allowBlank="1" showInputMessage="1" showErrorMessage="1" sqref="WVK983053:WVL983144 C65549:D65640 IY65549:IZ65640 SU65549:SV65640 ACQ65549:ACR65640 AMM65549:AMN65640 AWI65549:AWJ65640 BGE65549:BGF65640 BQA65549:BQB65640 BZW65549:BZX65640 CJS65549:CJT65640 CTO65549:CTP65640 DDK65549:DDL65640 DNG65549:DNH65640 DXC65549:DXD65640 EGY65549:EGZ65640 EQU65549:EQV65640 FAQ65549:FAR65640 FKM65549:FKN65640 FUI65549:FUJ65640 GEE65549:GEF65640 GOA65549:GOB65640 GXW65549:GXX65640 HHS65549:HHT65640 HRO65549:HRP65640 IBK65549:IBL65640 ILG65549:ILH65640 IVC65549:IVD65640 JEY65549:JEZ65640 JOU65549:JOV65640 JYQ65549:JYR65640 KIM65549:KIN65640 KSI65549:KSJ65640 LCE65549:LCF65640 LMA65549:LMB65640 LVW65549:LVX65640 MFS65549:MFT65640 MPO65549:MPP65640 MZK65549:MZL65640 NJG65549:NJH65640 NTC65549:NTD65640 OCY65549:OCZ65640 OMU65549:OMV65640 OWQ65549:OWR65640 PGM65549:PGN65640 PQI65549:PQJ65640 QAE65549:QAF65640 QKA65549:QKB65640 QTW65549:QTX65640 RDS65549:RDT65640 RNO65549:RNP65640 RXK65549:RXL65640 SHG65549:SHH65640 SRC65549:SRD65640 TAY65549:TAZ65640 TKU65549:TKV65640 TUQ65549:TUR65640 UEM65549:UEN65640 UOI65549:UOJ65640 UYE65549:UYF65640 VIA65549:VIB65640 VRW65549:VRX65640 WBS65549:WBT65640 WLO65549:WLP65640 WVK65549:WVL65640 C131085:D131176 IY131085:IZ131176 SU131085:SV131176 ACQ131085:ACR131176 AMM131085:AMN131176 AWI131085:AWJ131176 BGE131085:BGF131176 BQA131085:BQB131176 BZW131085:BZX131176 CJS131085:CJT131176 CTO131085:CTP131176 DDK131085:DDL131176 DNG131085:DNH131176 DXC131085:DXD131176 EGY131085:EGZ131176 EQU131085:EQV131176 FAQ131085:FAR131176 FKM131085:FKN131176 FUI131085:FUJ131176 GEE131085:GEF131176 GOA131085:GOB131176 GXW131085:GXX131176 HHS131085:HHT131176 HRO131085:HRP131176 IBK131085:IBL131176 ILG131085:ILH131176 IVC131085:IVD131176 JEY131085:JEZ131176 JOU131085:JOV131176 JYQ131085:JYR131176 KIM131085:KIN131176 KSI131085:KSJ131176 LCE131085:LCF131176 LMA131085:LMB131176 LVW131085:LVX131176 MFS131085:MFT131176 MPO131085:MPP131176 MZK131085:MZL131176 NJG131085:NJH131176 NTC131085:NTD131176 OCY131085:OCZ131176 OMU131085:OMV131176 OWQ131085:OWR131176 PGM131085:PGN131176 PQI131085:PQJ131176 QAE131085:QAF131176 QKA131085:QKB131176 QTW131085:QTX131176 RDS131085:RDT131176 RNO131085:RNP131176 RXK131085:RXL131176 SHG131085:SHH131176 SRC131085:SRD131176 TAY131085:TAZ131176 TKU131085:TKV131176 TUQ131085:TUR131176 UEM131085:UEN131176 UOI131085:UOJ131176 UYE131085:UYF131176 VIA131085:VIB131176 VRW131085:VRX131176 WBS131085:WBT131176 WLO131085:WLP131176 WVK131085:WVL131176 C196621:D196712 IY196621:IZ196712 SU196621:SV196712 ACQ196621:ACR196712 AMM196621:AMN196712 AWI196621:AWJ196712 BGE196621:BGF196712 BQA196621:BQB196712 BZW196621:BZX196712 CJS196621:CJT196712 CTO196621:CTP196712 DDK196621:DDL196712 DNG196621:DNH196712 DXC196621:DXD196712 EGY196621:EGZ196712 EQU196621:EQV196712 FAQ196621:FAR196712 FKM196621:FKN196712 FUI196621:FUJ196712 GEE196621:GEF196712 GOA196621:GOB196712 GXW196621:GXX196712 HHS196621:HHT196712 HRO196621:HRP196712 IBK196621:IBL196712 ILG196621:ILH196712 IVC196621:IVD196712 JEY196621:JEZ196712 JOU196621:JOV196712 JYQ196621:JYR196712 KIM196621:KIN196712 KSI196621:KSJ196712 LCE196621:LCF196712 LMA196621:LMB196712 LVW196621:LVX196712 MFS196621:MFT196712 MPO196621:MPP196712 MZK196621:MZL196712 NJG196621:NJH196712 NTC196621:NTD196712 OCY196621:OCZ196712 OMU196621:OMV196712 OWQ196621:OWR196712 PGM196621:PGN196712 PQI196621:PQJ196712 QAE196621:QAF196712 QKA196621:QKB196712 QTW196621:QTX196712 RDS196621:RDT196712 RNO196621:RNP196712 RXK196621:RXL196712 SHG196621:SHH196712 SRC196621:SRD196712 TAY196621:TAZ196712 TKU196621:TKV196712 TUQ196621:TUR196712 UEM196621:UEN196712 UOI196621:UOJ196712 UYE196621:UYF196712 VIA196621:VIB196712 VRW196621:VRX196712 WBS196621:WBT196712 WLO196621:WLP196712 WVK196621:WVL196712 C262157:D262248 IY262157:IZ262248 SU262157:SV262248 ACQ262157:ACR262248 AMM262157:AMN262248 AWI262157:AWJ262248 BGE262157:BGF262248 BQA262157:BQB262248 BZW262157:BZX262248 CJS262157:CJT262248 CTO262157:CTP262248 DDK262157:DDL262248 DNG262157:DNH262248 DXC262157:DXD262248 EGY262157:EGZ262248 EQU262157:EQV262248 FAQ262157:FAR262248 FKM262157:FKN262248 FUI262157:FUJ262248 GEE262157:GEF262248 GOA262157:GOB262248 GXW262157:GXX262248 HHS262157:HHT262248 HRO262157:HRP262248 IBK262157:IBL262248 ILG262157:ILH262248 IVC262157:IVD262248 JEY262157:JEZ262248 JOU262157:JOV262248 JYQ262157:JYR262248 KIM262157:KIN262248 KSI262157:KSJ262248 LCE262157:LCF262248 LMA262157:LMB262248 LVW262157:LVX262248 MFS262157:MFT262248 MPO262157:MPP262248 MZK262157:MZL262248 NJG262157:NJH262248 NTC262157:NTD262248 OCY262157:OCZ262248 OMU262157:OMV262248 OWQ262157:OWR262248 PGM262157:PGN262248 PQI262157:PQJ262248 QAE262157:QAF262248 QKA262157:QKB262248 QTW262157:QTX262248 RDS262157:RDT262248 RNO262157:RNP262248 RXK262157:RXL262248 SHG262157:SHH262248 SRC262157:SRD262248 TAY262157:TAZ262248 TKU262157:TKV262248 TUQ262157:TUR262248 UEM262157:UEN262248 UOI262157:UOJ262248 UYE262157:UYF262248 VIA262157:VIB262248 VRW262157:VRX262248 WBS262157:WBT262248 WLO262157:WLP262248 WVK262157:WVL262248 C327693:D327784 IY327693:IZ327784 SU327693:SV327784 ACQ327693:ACR327784 AMM327693:AMN327784 AWI327693:AWJ327784 BGE327693:BGF327784 BQA327693:BQB327784 BZW327693:BZX327784 CJS327693:CJT327784 CTO327693:CTP327784 DDK327693:DDL327784 DNG327693:DNH327784 DXC327693:DXD327784 EGY327693:EGZ327784 EQU327693:EQV327784 FAQ327693:FAR327784 FKM327693:FKN327784 FUI327693:FUJ327784 GEE327693:GEF327784 GOA327693:GOB327784 GXW327693:GXX327784 HHS327693:HHT327784 HRO327693:HRP327784 IBK327693:IBL327784 ILG327693:ILH327784 IVC327693:IVD327784 JEY327693:JEZ327784 JOU327693:JOV327784 JYQ327693:JYR327784 KIM327693:KIN327784 KSI327693:KSJ327784 LCE327693:LCF327784 LMA327693:LMB327784 LVW327693:LVX327784 MFS327693:MFT327784 MPO327693:MPP327784 MZK327693:MZL327784 NJG327693:NJH327784 NTC327693:NTD327784 OCY327693:OCZ327784 OMU327693:OMV327784 OWQ327693:OWR327784 PGM327693:PGN327784 PQI327693:PQJ327784 QAE327693:QAF327784 QKA327693:QKB327784 QTW327693:QTX327784 RDS327693:RDT327784 RNO327693:RNP327784 RXK327693:RXL327784 SHG327693:SHH327784 SRC327693:SRD327784 TAY327693:TAZ327784 TKU327693:TKV327784 TUQ327693:TUR327784 UEM327693:UEN327784 UOI327693:UOJ327784 UYE327693:UYF327784 VIA327693:VIB327784 VRW327693:VRX327784 WBS327693:WBT327784 WLO327693:WLP327784 WVK327693:WVL327784 C393229:D393320 IY393229:IZ393320 SU393229:SV393320 ACQ393229:ACR393320 AMM393229:AMN393320 AWI393229:AWJ393320 BGE393229:BGF393320 BQA393229:BQB393320 BZW393229:BZX393320 CJS393229:CJT393320 CTO393229:CTP393320 DDK393229:DDL393320 DNG393229:DNH393320 DXC393229:DXD393320 EGY393229:EGZ393320 EQU393229:EQV393320 FAQ393229:FAR393320 FKM393229:FKN393320 FUI393229:FUJ393320 GEE393229:GEF393320 GOA393229:GOB393320 GXW393229:GXX393320 HHS393229:HHT393320 HRO393229:HRP393320 IBK393229:IBL393320 ILG393229:ILH393320 IVC393229:IVD393320 JEY393229:JEZ393320 JOU393229:JOV393320 JYQ393229:JYR393320 KIM393229:KIN393320 KSI393229:KSJ393320 LCE393229:LCF393320 LMA393229:LMB393320 LVW393229:LVX393320 MFS393229:MFT393320 MPO393229:MPP393320 MZK393229:MZL393320 NJG393229:NJH393320 NTC393229:NTD393320 OCY393229:OCZ393320 OMU393229:OMV393320 OWQ393229:OWR393320 PGM393229:PGN393320 PQI393229:PQJ393320 QAE393229:QAF393320 QKA393229:QKB393320 QTW393229:QTX393320 RDS393229:RDT393320 RNO393229:RNP393320 RXK393229:RXL393320 SHG393229:SHH393320 SRC393229:SRD393320 TAY393229:TAZ393320 TKU393229:TKV393320 TUQ393229:TUR393320 UEM393229:UEN393320 UOI393229:UOJ393320 UYE393229:UYF393320 VIA393229:VIB393320 VRW393229:VRX393320 WBS393229:WBT393320 WLO393229:WLP393320 WVK393229:WVL393320 C458765:D458856 IY458765:IZ458856 SU458765:SV458856 ACQ458765:ACR458856 AMM458765:AMN458856 AWI458765:AWJ458856 BGE458765:BGF458856 BQA458765:BQB458856 BZW458765:BZX458856 CJS458765:CJT458856 CTO458765:CTP458856 DDK458765:DDL458856 DNG458765:DNH458856 DXC458765:DXD458856 EGY458765:EGZ458856 EQU458765:EQV458856 FAQ458765:FAR458856 FKM458765:FKN458856 FUI458765:FUJ458856 GEE458765:GEF458856 GOA458765:GOB458856 GXW458765:GXX458856 HHS458765:HHT458856 HRO458765:HRP458856 IBK458765:IBL458856 ILG458765:ILH458856 IVC458765:IVD458856 JEY458765:JEZ458856 JOU458765:JOV458856 JYQ458765:JYR458856 KIM458765:KIN458856 KSI458765:KSJ458856 LCE458765:LCF458856 LMA458765:LMB458856 LVW458765:LVX458856 MFS458765:MFT458856 MPO458765:MPP458856 MZK458765:MZL458856 NJG458765:NJH458856 NTC458765:NTD458856 OCY458765:OCZ458856 OMU458765:OMV458856 OWQ458765:OWR458856 PGM458765:PGN458856 PQI458765:PQJ458856 QAE458765:QAF458856 QKA458765:QKB458856 QTW458765:QTX458856 RDS458765:RDT458856 RNO458765:RNP458856 RXK458765:RXL458856 SHG458765:SHH458856 SRC458765:SRD458856 TAY458765:TAZ458856 TKU458765:TKV458856 TUQ458765:TUR458856 UEM458765:UEN458856 UOI458765:UOJ458856 UYE458765:UYF458856 VIA458765:VIB458856 VRW458765:VRX458856 WBS458765:WBT458856 WLO458765:WLP458856 WVK458765:WVL458856 C524301:D524392 IY524301:IZ524392 SU524301:SV524392 ACQ524301:ACR524392 AMM524301:AMN524392 AWI524301:AWJ524392 BGE524301:BGF524392 BQA524301:BQB524392 BZW524301:BZX524392 CJS524301:CJT524392 CTO524301:CTP524392 DDK524301:DDL524392 DNG524301:DNH524392 DXC524301:DXD524392 EGY524301:EGZ524392 EQU524301:EQV524392 FAQ524301:FAR524392 FKM524301:FKN524392 FUI524301:FUJ524392 GEE524301:GEF524392 GOA524301:GOB524392 GXW524301:GXX524392 HHS524301:HHT524392 HRO524301:HRP524392 IBK524301:IBL524392 ILG524301:ILH524392 IVC524301:IVD524392 JEY524301:JEZ524392 JOU524301:JOV524392 JYQ524301:JYR524392 KIM524301:KIN524392 KSI524301:KSJ524392 LCE524301:LCF524392 LMA524301:LMB524392 LVW524301:LVX524392 MFS524301:MFT524392 MPO524301:MPP524392 MZK524301:MZL524392 NJG524301:NJH524392 NTC524301:NTD524392 OCY524301:OCZ524392 OMU524301:OMV524392 OWQ524301:OWR524392 PGM524301:PGN524392 PQI524301:PQJ524392 QAE524301:QAF524392 QKA524301:QKB524392 QTW524301:QTX524392 RDS524301:RDT524392 RNO524301:RNP524392 RXK524301:RXL524392 SHG524301:SHH524392 SRC524301:SRD524392 TAY524301:TAZ524392 TKU524301:TKV524392 TUQ524301:TUR524392 UEM524301:UEN524392 UOI524301:UOJ524392 UYE524301:UYF524392 VIA524301:VIB524392 VRW524301:VRX524392 WBS524301:WBT524392 WLO524301:WLP524392 WVK524301:WVL524392 C589837:D589928 IY589837:IZ589928 SU589837:SV589928 ACQ589837:ACR589928 AMM589837:AMN589928 AWI589837:AWJ589928 BGE589837:BGF589928 BQA589837:BQB589928 BZW589837:BZX589928 CJS589837:CJT589928 CTO589837:CTP589928 DDK589837:DDL589928 DNG589837:DNH589928 DXC589837:DXD589928 EGY589837:EGZ589928 EQU589837:EQV589928 FAQ589837:FAR589928 FKM589837:FKN589928 FUI589837:FUJ589928 GEE589837:GEF589928 GOA589837:GOB589928 GXW589837:GXX589928 HHS589837:HHT589928 HRO589837:HRP589928 IBK589837:IBL589928 ILG589837:ILH589928 IVC589837:IVD589928 JEY589837:JEZ589928 JOU589837:JOV589928 JYQ589837:JYR589928 KIM589837:KIN589928 KSI589837:KSJ589928 LCE589837:LCF589928 LMA589837:LMB589928 LVW589837:LVX589928 MFS589837:MFT589928 MPO589837:MPP589928 MZK589837:MZL589928 NJG589837:NJH589928 NTC589837:NTD589928 OCY589837:OCZ589928 OMU589837:OMV589928 OWQ589837:OWR589928 PGM589837:PGN589928 PQI589837:PQJ589928 QAE589837:QAF589928 QKA589837:QKB589928 QTW589837:QTX589928 RDS589837:RDT589928 RNO589837:RNP589928 RXK589837:RXL589928 SHG589837:SHH589928 SRC589837:SRD589928 TAY589837:TAZ589928 TKU589837:TKV589928 TUQ589837:TUR589928 UEM589837:UEN589928 UOI589837:UOJ589928 UYE589837:UYF589928 VIA589837:VIB589928 VRW589837:VRX589928 WBS589837:WBT589928 WLO589837:WLP589928 WVK589837:WVL589928 C655373:D655464 IY655373:IZ655464 SU655373:SV655464 ACQ655373:ACR655464 AMM655373:AMN655464 AWI655373:AWJ655464 BGE655373:BGF655464 BQA655373:BQB655464 BZW655373:BZX655464 CJS655373:CJT655464 CTO655373:CTP655464 DDK655373:DDL655464 DNG655373:DNH655464 DXC655373:DXD655464 EGY655373:EGZ655464 EQU655373:EQV655464 FAQ655373:FAR655464 FKM655373:FKN655464 FUI655373:FUJ655464 GEE655373:GEF655464 GOA655373:GOB655464 GXW655373:GXX655464 HHS655373:HHT655464 HRO655373:HRP655464 IBK655373:IBL655464 ILG655373:ILH655464 IVC655373:IVD655464 JEY655373:JEZ655464 JOU655373:JOV655464 JYQ655373:JYR655464 KIM655373:KIN655464 KSI655373:KSJ655464 LCE655373:LCF655464 LMA655373:LMB655464 LVW655373:LVX655464 MFS655373:MFT655464 MPO655373:MPP655464 MZK655373:MZL655464 NJG655373:NJH655464 NTC655373:NTD655464 OCY655373:OCZ655464 OMU655373:OMV655464 OWQ655373:OWR655464 PGM655373:PGN655464 PQI655373:PQJ655464 QAE655373:QAF655464 QKA655373:QKB655464 QTW655373:QTX655464 RDS655373:RDT655464 RNO655373:RNP655464 RXK655373:RXL655464 SHG655373:SHH655464 SRC655373:SRD655464 TAY655373:TAZ655464 TKU655373:TKV655464 TUQ655373:TUR655464 UEM655373:UEN655464 UOI655373:UOJ655464 UYE655373:UYF655464 VIA655373:VIB655464 VRW655373:VRX655464 WBS655373:WBT655464 WLO655373:WLP655464 WVK655373:WVL655464 C720909:D721000 IY720909:IZ721000 SU720909:SV721000 ACQ720909:ACR721000 AMM720909:AMN721000 AWI720909:AWJ721000 BGE720909:BGF721000 BQA720909:BQB721000 BZW720909:BZX721000 CJS720909:CJT721000 CTO720909:CTP721000 DDK720909:DDL721000 DNG720909:DNH721000 DXC720909:DXD721000 EGY720909:EGZ721000 EQU720909:EQV721000 FAQ720909:FAR721000 FKM720909:FKN721000 FUI720909:FUJ721000 GEE720909:GEF721000 GOA720909:GOB721000 GXW720909:GXX721000 HHS720909:HHT721000 HRO720909:HRP721000 IBK720909:IBL721000 ILG720909:ILH721000 IVC720909:IVD721000 JEY720909:JEZ721000 JOU720909:JOV721000 JYQ720909:JYR721000 KIM720909:KIN721000 KSI720909:KSJ721000 LCE720909:LCF721000 LMA720909:LMB721000 LVW720909:LVX721000 MFS720909:MFT721000 MPO720909:MPP721000 MZK720909:MZL721000 NJG720909:NJH721000 NTC720909:NTD721000 OCY720909:OCZ721000 OMU720909:OMV721000 OWQ720909:OWR721000 PGM720909:PGN721000 PQI720909:PQJ721000 QAE720909:QAF721000 QKA720909:QKB721000 QTW720909:QTX721000 RDS720909:RDT721000 RNO720909:RNP721000 RXK720909:RXL721000 SHG720909:SHH721000 SRC720909:SRD721000 TAY720909:TAZ721000 TKU720909:TKV721000 TUQ720909:TUR721000 UEM720909:UEN721000 UOI720909:UOJ721000 UYE720909:UYF721000 VIA720909:VIB721000 VRW720909:VRX721000 WBS720909:WBT721000 WLO720909:WLP721000 WVK720909:WVL721000 C786445:D786536 IY786445:IZ786536 SU786445:SV786536 ACQ786445:ACR786536 AMM786445:AMN786536 AWI786445:AWJ786536 BGE786445:BGF786536 BQA786445:BQB786536 BZW786445:BZX786536 CJS786445:CJT786536 CTO786445:CTP786536 DDK786445:DDL786536 DNG786445:DNH786536 DXC786445:DXD786536 EGY786445:EGZ786536 EQU786445:EQV786536 FAQ786445:FAR786536 FKM786445:FKN786536 FUI786445:FUJ786536 GEE786445:GEF786536 GOA786445:GOB786536 GXW786445:GXX786536 HHS786445:HHT786536 HRO786445:HRP786536 IBK786445:IBL786536 ILG786445:ILH786536 IVC786445:IVD786536 JEY786445:JEZ786536 JOU786445:JOV786536 JYQ786445:JYR786536 KIM786445:KIN786536 KSI786445:KSJ786536 LCE786445:LCF786536 LMA786445:LMB786536 LVW786445:LVX786536 MFS786445:MFT786536 MPO786445:MPP786536 MZK786445:MZL786536 NJG786445:NJH786536 NTC786445:NTD786536 OCY786445:OCZ786536 OMU786445:OMV786536 OWQ786445:OWR786536 PGM786445:PGN786536 PQI786445:PQJ786536 QAE786445:QAF786536 QKA786445:QKB786536 QTW786445:QTX786536 RDS786445:RDT786536 RNO786445:RNP786536 RXK786445:RXL786536 SHG786445:SHH786536 SRC786445:SRD786536 TAY786445:TAZ786536 TKU786445:TKV786536 TUQ786445:TUR786536 UEM786445:UEN786536 UOI786445:UOJ786536 UYE786445:UYF786536 VIA786445:VIB786536 VRW786445:VRX786536 WBS786445:WBT786536 WLO786445:WLP786536 WVK786445:WVL786536 C851981:D852072 IY851981:IZ852072 SU851981:SV852072 ACQ851981:ACR852072 AMM851981:AMN852072 AWI851981:AWJ852072 BGE851981:BGF852072 BQA851981:BQB852072 BZW851981:BZX852072 CJS851981:CJT852072 CTO851981:CTP852072 DDK851981:DDL852072 DNG851981:DNH852072 DXC851981:DXD852072 EGY851981:EGZ852072 EQU851981:EQV852072 FAQ851981:FAR852072 FKM851981:FKN852072 FUI851981:FUJ852072 GEE851981:GEF852072 GOA851981:GOB852072 GXW851981:GXX852072 HHS851981:HHT852072 HRO851981:HRP852072 IBK851981:IBL852072 ILG851981:ILH852072 IVC851981:IVD852072 JEY851981:JEZ852072 JOU851981:JOV852072 JYQ851981:JYR852072 KIM851981:KIN852072 KSI851981:KSJ852072 LCE851981:LCF852072 LMA851981:LMB852072 LVW851981:LVX852072 MFS851981:MFT852072 MPO851981:MPP852072 MZK851981:MZL852072 NJG851981:NJH852072 NTC851981:NTD852072 OCY851981:OCZ852072 OMU851981:OMV852072 OWQ851981:OWR852072 PGM851981:PGN852072 PQI851981:PQJ852072 QAE851981:QAF852072 QKA851981:QKB852072 QTW851981:QTX852072 RDS851981:RDT852072 RNO851981:RNP852072 RXK851981:RXL852072 SHG851981:SHH852072 SRC851981:SRD852072 TAY851981:TAZ852072 TKU851981:TKV852072 TUQ851981:TUR852072 UEM851981:UEN852072 UOI851981:UOJ852072 UYE851981:UYF852072 VIA851981:VIB852072 VRW851981:VRX852072 WBS851981:WBT852072 WLO851981:WLP852072 WVK851981:WVL852072 C917517:D917608 IY917517:IZ917608 SU917517:SV917608 ACQ917517:ACR917608 AMM917517:AMN917608 AWI917517:AWJ917608 BGE917517:BGF917608 BQA917517:BQB917608 BZW917517:BZX917608 CJS917517:CJT917608 CTO917517:CTP917608 DDK917517:DDL917608 DNG917517:DNH917608 DXC917517:DXD917608 EGY917517:EGZ917608 EQU917517:EQV917608 FAQ917517:FAR917608 FKM917517:FKN917608 FUI917517:FUJ917608 GEE917517:GEF917608 GOA917517:GOB917608 GXW917517:GXX917608 HHS917517:HHT917608 HRO917517:HRP917608 IBK917517:IBL917608 ILG917517:ILH917608 IVC917517:IVD917608 JEY917517:JEZ917608 JOU917517:JOV917608 JYQ917517:JYR917608 KIM917517:KIN917608 KSI917517:KSJ917608 LCE917517:LCF917608 LMA917517:LMB917608 LVW917517:LVX917608 MFS917517:MFT917608 MPO917517:MPP917608 MZK917517:MZL917608 NJG917517:NJH917608 NTC917517:NTD917608 OCY917517:OCZ917608 OMU917517:OMV917608 OWQ917517:OWR917608 PGM917517:PGN917608 PQI917517:PQJ917608 QAE917517:QAF917608 QKA917517:QKB917608 QTW917517:QTX917608 RDS917517:RDT917608 RNO917517:RNP917608 RXK917517:RXL917608 SHG917517:SHH917608 SRC917517:SRD917608 TAY917517:TAZ917608 TKU917517:TKV917608 TUQ917517:TUR917608 UEM917517:UEN917608 UOI917517:UOJ917608 UYE917517:UYF917608 VIA917517:VIB917608 VRW917517:VRX917608 WBS917517:WBT917608 WLO917517:WLP917608 WVK917517:WVL917608 C983053:D983144 IY983053:IZ983144 SU983053:SV983144 ACQ983053:ACR983144 AMM983053:AMN983144 AWI983053:AWJ983144 BGE983053:BGF983144 BQA983053:BQB983144 BZW983053:BZX983144 CJS983053:CJT983144 CTO983053:CTP983144 DDK983053:DDL983144 DNG983053:DNH983144 DXC983053:DXD983144 EGY983053:EGZ983144 EQU983053:EQV983144 FAQ983053:FAR983144 FKM983053:FKN983144 FUI983053:FUJ983144 GEE983053:GEF983144 GOA983053:GOB983144 GXW983053:GXX983144 HHS983053:HHT983144 HRO983053:HRP983144 IBK983053:IBL983144 ILG983053:ILH983144 IVC983053:IVD983144 JEY983053:JEZ983144 JOU983053:JOV983144 JYQ983053:JYR983144 KIM983053:KIN983144 KSI983053:KSJ983144 LCE983053:LCF983144 LMA983053:LMB983144 LVW983053:LVX983144 MFS983053:MFT983144 MPO983053:MPP983144 MZK983053:MZL983144 NJG983053:NJH983144 NTC983053:NTD983144 OCY983053:OCZ983144 OMU983053:OMV983144 OWQ983053:OWR983144 PGM983053:PGN983144 PQI983053:PQJ983144 QAE983053:QAF983144 QKA983053:QKB983144 QTW983053:QTX983144 RDS983053:RDT983144 RNO983053:RNP983144 RXK983053:RXL983144 SHG983053:SHH983144 SRC983053:SRD983144 TAY983053:TAZ983144 TKU983053:TKV983144 TUQ983053:TUR983144 UEM983053:UEN983144 UOI983053:UOJ983144 UYE983053:UYF983144 VIA983053:VIB983144 VRW983053:VRX983144 WBS983053:WBT983144 WLO983053:WLP983144 WVK5:WVL104 WLO5:WLP104 WBS5:WBT104 VRW5:VRX104 VIA5:VIB104 UYE5:UYF104 UOI5:UOJ104 UEM5:UEN104 TUQ5:TUR104 TKU5:TKV104 TAY5:TAZ104 SRC5:SRD104 SHG5:SHH104 RXK5:RXL104 RNO5:RNP104 RDS5:RDT104 QTW5:QTX104 QKA5:QKB104 QAE5:QAF104 PQI5:PQJ104 PGM5:PGN104 OWQ5:OWR104 OMU5:OMV104 OCY5:OCZ104 NTC5:NTD104 NJG5:NJH104 MZK5:MZL104 MPO5:MPP104 MFS5:MFT104 LVW5:LVX104 LMA5:LMB104 LCE5:LCF104 KSI5:KSJ104 KIM5:KIN104 JYQ5:JYR104 JOU5:JOV104 JEY5:JEZ104 IVC5:IVD104 ILG5:ILH104 IBK5:IBL104 HRO5:HRP104 HHS5:HHT104 GXW5:GXX104 GOA5:GOB104 GEE5:GEF104 FUI5:FUJ104 FKM5:FKN104 FAQ5:FAR104 EQU5:EQV104 EGY5:EGZ104 DXC5:DXD104 DNG5:DNH104 DDK5:DDL104 CTO5:CTP104 CJS5:CJT104 BZW5:BZX104 BQA5:BQB104 BGE5:BGF104 AWI5:AWJ104 AMM5:AMN104 ACQ5:ACR104 SU5:SV104 IY5:IZ104 C5:D104" xr:uid="{DDF022BD-AF10-4D45-B7E5-DECE5C6A7F07}">
      <formula1>勘定科目</formula1>
    </dataValidation>
  </dataValidations>
  <pageMargins left="0.7" right="0.7" top="0.75" bottom="0.75" header="0.3" footer="0.3"/>
  <pageSetup paperSize="8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39F2-B966-4A50-94C0-90113239B56D}">
  <sheetPr>
    <tabColor rgb="FF66CCFF"/>
    <pageSetUpPr fitToPage="1"/>
  </sheetPr>
  <dimension ref="A1:M19"/>
  <sheetViews>
    <sheetView workbookViewId="0">
      <selection activeCell="J31" sqref="J31"/>
    </sheetView>
  </sheetViews>
  <sheetFormatPr defaultRowHeight="17.100000000000001" customHeight="1" x14ac:dyDescent="0.4"/>
  <cols>
    <col min="1" max="1" width="2.125" customWidth="1"/>
    <col min="2" max="4" width="10.625" customWidth="1"/>
    <col min="5" max="8" width="5.625" customWidth="1"/>
    <col min="9" max="9" width="10.625" customWidth="1"/>
    <col min="10" max="11" width="20.625" customWidth="1"/>
    <col min="12" max="12" width="15.625" customWidth="1"/>
    <col min="13" max="13" width="20.625" customWidth="1"/>
  </cols>
  <sheetData>
    <row r="1" spans="1:13" ht="17.100000000000001" customHeight="1" x14ac:dyDescent="0.4">
      <c r="A1" s="21" t="str">
        <f>"令和"&amp;チェックシート!$C$3&amp;"年度"</f>
        <v>令和5年度</v>
      </c>
      <c r="B1" s="21"/>
      <c r="C1" s="21"/>
      <c r="D1" s="21"/>
      <c r="E1" s="21"/>
      <c r="F1" s="21"/>
      <c r="G1" s="21"/>
      <c r="H1" s="21"/>
    </row>
    <row r="2" spans="1:13" ht="17.100000000000001" customHeight="1" x14ac:dyDescent="0.4">
      <c r="A2" s="281" t="str">
        <f>チェックシート!$C$2</f>
        <v>白子町</v>
      </c>
      <c r="B2" s="21"/>
      <c r="C2" s="21"/>
      <c r="D2" s="21"/>
      <c r="E2" s="21"/>
      <c r="F2" s="21"/>
      <c r="G2" s="21"/>
      <c r="H2" s="21"/>
    </row>
    <row r="3" spans="1:13" ht="17.100000000000001" customHeight="1" x14ac:dyDescent="0.4">
      <c r="A3" s="21"/>
      <c r="B3" s="22" t="s">
        <v>531</v>
      </c>
      <c r="C3" s="22"/>
      <c r="D3" s="22"/>
      <c r="E3" s="22"/>
      <c r="F3" s="22"/>
      <c r="G3" s="22"/>
      <c r="H3" s="22"/>
      <c r="J3" s="200" t="s">
        <v>542</v>
      </c>
      <c r="M3" s="206" t="s">
        <v>548</v>
      </c>
    </row>
    <row r="4" spans="1:13" ht="17.100000000000001" customHeight="1" x14ac:dyDescent="0.4">
      <c r="B4" s="24" t="s">
        <v>336</v>
      </c>
      <c r="C4" s="24" t="s">
        <v>534</v>
      </c>
      <c r="D4" s="24" t="s">
        <v>536</v>
      </c>
      <c r="E4" s="24" t="s">
        <v>230</v>
      </c>
      <c r="F4" s="24" t="s">
        <v>285</v>
      </c>
      <c r="G4" s="24" t="s">
        <v>286</v>
      </c>
      <c r="H4" s="24" t="s">
        <v>360</v>
      </c>
      <c r="I4" s="24" t="s">
        <v>535</v>
      </c>
      <c r="J4" s="182" t="s">
        <v>368</v>
      </c>
      <c r="K4" s="182" t="s">
        <v>369</v>
      </c>
      <c r="L4" s="40" t="s">
        <v>190</v>
      </c>
      <c r="M4" s="24" t="s">
        <v>370</v>
      </c>
    </row>
    <row r="5" spans="1:13" ht="17.100000000000001" customHeight="1" x14ac:dyDescent="0.4">
      <c r="B5" s="79" t="s">
        <v>422</v>
      </c>
      <c r="C5" s="79" t="s">
        <v>532</v>
      </c>
      <c r="D5" s="79" t="s">
        <v>533</v>
      </c>
      <c r="E5" s="72"/>
      <c r="F5" s="72"/>
      <c r="G5" s="72"/>
      <c r="H5" s="177"/>
      <c r="I5" s="177" t="s">
        <v>541</v>
      </c>
      <c r="J5" s="183" t="str">
        <f>IFERROR(VLOOKUP(I5,科目マスタ!$B$2:$D$52,3,FALSE),"")</f>
        <v>PLその他（経常収益）</v>
      </c>
      <c r="K5" s="184" t="str">
        <f>IFERROR(VLOOKUP(I5,科目マスタ!$B$2:$D$52,2,FALSE),"")</f>
        <v>CFその他の収入（業務収入）</v>
      </c>
      <c r="L5" s="179">
        <v>0</v>
      </c>
      <c r="M5" s="72" t="s">
        <v>539</v>
      </c>
    </row>
    <row r="6" spans="1:13" ht="17.100000000000001" customHeight="1" x14ac:dyDescent="0.4">
      <c r="B6" s="36"/>
      <c r="C6" s="36"/>
      <c r="D6" s="36"/>
      <c r="E6" s="75"/>
      <c r="F6" s="75"/>
      <c r="G6" s="75"/>
      <c r="H6" s="178"/>
      <c r="I6" s="178"/>
      <c r="J6" s="185" t="str">
        <f>IFERROR(VLOOKUP(I6,科目マスタ!$B$2:$D$52,3,FALSE),"")</f>
        <v/>
      </c>
      <c r="K6" s="186" t="str">
        <f>IFERROR(VLOOKUP(I6,科目マスタ!$B$2:$D$52,2,FALSE),"")</f>
        <v/>
      </c>
      <c r="L6" s="180"/>
      <c r="M6" s="75"/>
    </row>
    <row r="7" spans="1:13" ht="17.100000000000001" customHeight="1" x14ac:dyDescent="0.4">
      <c r="B7" s="36"/>
      <c r="C7" s="36"/>
      <c r="D7" s="36"/>
      <c r="E7" s="75"/>
      <c r="F7" s="75"/>
      <c r="G7" s="75"/>
      <c r="H7" s="178"/>
      <c r="I7" s="178"/>
      <c r="J7" s="185" t="str">
        <f>IFERROR(VLOOKUP(I7,科目マスタ!$B$2:$D$52,3,FALSE),"")</f>
        <v/>
      </c>
      <c r="K7" s="186" t="str">
        <f>IFERROR(VLOOKUP(I7,科目マスタ!$B$2:$D$52,2,FALSE),"")</f>
        <v/>
      </c>
      <c r="L7" s="180"/>
      <c r="M7" s="75"/>
    </row>
    <row r="8" spans="1:13" ht="17.100000000000001" customHeight="1" x14ac:dyDescent="0.4">
      <c r="B8" s="36"/>
      <c r="C8" s="36"/>
      <c r="D8" s="36"/>
      <c r="E8" s="75"/>
      <c r="F8" s="75"/>
      <c r="G8" s="75"/>
      <c r="H8" s="178"/>
      <c r="I8" s="178"/>
      <c r="J8" s="185" t="str">
        <f>IFERROR(VLOOKUP(I8,科目マスタ!$B$2:$D$52,3,FALSE),"")</f>
        <v/>
      </c>
      <c r="K8" s="186" t="str">
        <f>IFERROR(VLOOKUP(I8,科目マスタ!$B$2:$D$52,2,FALSE),"")</f>
        <v/>
      </c>
      <c r="L8" s="180"/>
      <c r="M8" s="75"/>
    </row>
    <row r="9" spans="1:13" ht="17.100000000000001" customHeight="1" x14ac:dyDescent="0.4">
      <c r="B9" s="76"/>
      <c r="C9" s="76"/>
      <c r="D9" s="76"/>
      <c r="E9" s="83"/>
      <c r="F9" s="83"/>
      <c r="G9" s="83"/>
      <c r="H9" s="191"/>
      <c r="I9" s="192"/>
      <c r="J9" s="187" t="str">
        <f>IFERROR(VLOOKUP(I9,科目マスタ!$B$2:$D$52,3,FALSE),"")</f>
        <v/>
      </c>
      <c r="K9" s="188" t="str">
        <f>IFERROR(VLOOKUP(I9,科目マスタ!$B$2:$D$52,2,FALSE),"")</f>
        <v/>
      </c>
      <c r="L9" s="194"/>
      <c r="M9" s="83"/>
    </row>
    <row r="10" spans="1:13" ht="17.100000000000001" customHeight="1" x14ac:dyDescent="0.4">
      <c r="B10" s="79" t="s">
        <v>231</v>
      </c>
      <c r="C10" s="79" t="s">
        <v>532</v>
      </c>
      <c r="D10" s="79" t="s">
        <v>533</v>
      </c>
      <c r="E10" s="72"/>
      <c r="F10" s="72"/>
      <c r="G10" s="72"/>
      <c r="H10" s="177">
        <v>12</v>
      </c>
      <c r="I10" s="197" t="str">
        <f>IFERROR(VLOOKUP(H10,科目マスタ!$E$2:$F$47,2,FALSE),"")</f>
        <v>委託費</v>
      </c>
      <c r="J10" s="198" t="str">
        <f>IFERROR(VLOOKUP(I10,科目マスタ!$F$2:$I$47,4,FALSE),"")</f>
        <v>CF物件費等支出</v>
      </c>
      <c r="K10" s="199" t="str">
        <f>IFERROR(VLOOKUP(I10,科目マスタ!$F$2:$I$47,3,FALSE),"")</f>
        <v>PL物件費</v>
      </c>
      <c r="L10" s="193">
        <v>0</v>
      </c>
      <c r="M10" s="72" t="s">
        <v>538</v>
      </c>
    </row>
    <row r="11" spans="1:13" ht="17.100000000000001" customHeight="1" x14ac:dyDescent="0.4">
      <c r="B11" s="36"/>
      <c r="C11" s="36"/>
      <c r="D11" s="36"/>
      <c r="E11" s="75"/>
      <c r="F11" s="75"/>
      <c r="G11" s="75"/>
      <c r="H11" s="178"/>
      <c r="I11" s="189" t="str">
        <f>IFERROR(VLOOKUP(H11,科目マスタ!$E$2:$F$47,2,FALSE),"")</f>
        <v/>
      </c>
      <c r="J11" s="185" t="str">
        <f>IFERROR(VLOOKUP(I11,科目マスタ!$F$2:$I$47,4,FALSE),"")</f>
        <v/>
      </c>
      <c r="K11" s="186" t="str">
        <f>IFERROR(VLOOKUP(I11,科目マスタ!$F$2:$I$47,3,FALSE),"")</f>
        <v/>
      </c>
      <c r="L11" s="180"/>
      <c r="M11" s="75"/>
    </row>
    <row r="12" spans="1:13" ht="17.100000000000001" customHeight="1" x14ac:dyDescent="0.4">
      <c r="B12" s="36"/>
      <c r="C12" s="36"/>
      <c r="D12" s="36"/>
      <c r="E12" s="75"/>
      <c r="F12" s="75"/>
      <c r="G12" s="75"/>
      <c r="H12" s="178"/>
      <c r="I12" s="189" t="str">
        <f>IFERROR(VLOOKUP(H12,科目マスタ!$E$2:$F$47,2,FALSE),"")</f>
        <v/>
      </c>
      <c r="J12" s="185" t="str">
        <f>IFERROR(VLOOKUP(I12,科目マスタ!$F$2:$I$47,4,FALSE),"")</f>
        <v/>
      </c>
      <c r="K12" s="186" t="str">
        <f>IFERROR(VLOOKUP(I12,科目マスタ!$F$2:$I$47,3,FALSE),"")</f>
        <v/>
      </c>
      <c r="L12" s="180"/>
      <c r="M12" s="75"/>
    </row>
    <row r="13" spans="1:13" ht="17.100000000000001" customHeight="1" x14ac:dyDescent="0.4">
      <c r="B13" s="36"/>
      <c r="C13" s="36"/>
      <c r="D13" s="36"/>
      <c r="E13" s="75"/>
      <c r="F13" s="75"/>
      <c r="G13" s="75"/>
      <c r="H13" s="178"/>
      <c r="I13" s="189" t="str">
        <f>IFERROR(VLOOKUP(H13,科目マスタ!$E$2:$F$47,2,FALSE),"")</f>
        <v/>
      </c>
      <c r="J13" s="185" t="str">
        <f>IFERROR(VLOOKUP(I13,科目マスタ!$F$2:$I$47,4,FALSE),"")</f>
        <v/>
      </c>
      <c r="K13" s="186" t="str">
        <f>IFERROR(VLOOKUP(I13,科目マスタ!$F$2:$I$47,3,FALSE),"")</f>
        <v/>
      </c>
      <c r="L13" s="180"/>
      <c r="M13" s="75"/>
    </row>
    <row r="14" spans="1:13" ht="17.100000000000001" customHeight="1" x14ac:dyDescent="0.4">
      <c r="B14" s="76"/>
      <c r="C14" s="76"/>
      <c r="D14" s="76"/>
      <c r="E14" s="83"/>
      <c r="F14" s="83"/>
      <c r="G14" s="83"/>
      <c r="H14" s="191"/>
      <c r="I14" s="190" t="str">
        <f>IFERROR(VLOOKUP(H14,科目マスタ!$E$2:$F$47,2,FALSE),"")</f>
        <v/>
      </c>
      <c r="J14" s="187" t="str">
        <f>IFERROR(VLOOKUP(I14,科目マスタ!$F$2:$I$47,4,FALSE),"")</f>
        <v/>
      </c>
      <c r="K14" s="188" t="str">
        <f>IFERROR(VLOOKUP(I14,科目マスタ!$F$2:$I$47,3,FALSE),"")</f>
        <v/>
      </c>
      <c r="L14" s="181"/>
      <c r="M14" s="83"/>
    </row>
    <row r="15" spans="1:13" ht="17.100000000000001" customHeight="1" x14ac:dyDescent="0.4">
      <c r="B15" s="79" t="s">
        <v>543</v>
      </c>
      <c r="C15" s="79"/>
      <c r="D15" s="79"/>
      <c r="E15" s="72"/>
      <c r="F15" s="72"/>
      <c r="G15" s="72"/>
      <c r="H15" s="177"/>
      <c r="I15" s="201"/>
      <c r="J15" s="198" t="s">
        <v>29</v>
      </c>
      <c r="K15" s="199" t="s">
        <v>102</v>
      </c>
      <c r="L15" s="193">
        <v>0</v>
      </c>
      <c r="M15" s="72" t="s">
        <v>544</v>
      </c>
    </row>
    <row r="16" spans="1:13" ht="17.100000000000001" customHeight="1" x14ac:dyDescent="0.4">
      <c r="B16" s="36"/>
      <c r="C16" s="36"/>
      <c r="D16" s="36"/>
      <c r="E16" s="75"/>
      <c r="F16" s="75"/>
      <c r="G16" s="75"/>
      <c r="H16" s="178"/>
      <c r="I16" s="202"/>
      <c r="J16" s="185" t="s">
        <v>105</v>
      </c>
      <c r="K16" s="186" t="s">
        <v>540</v>
      </c>
      <c r="L16" s="180">
        <v>0</v>
      </c>
      <c r="M16" s="75" t="s">
        <v>544</v>
      </c>
    </row>
    <row r="17" spans="2:13" ht="17.100000000000001" customHeight="1" x14ac:dyDescent="0.4">
      <c r="B17" s="36"/>
      <c r="C17" s="36"/>
      <c r="D17" s="36"/>
      <c r="E17" s="75"/>
      <c r="F17" s="75"/>
      <c r="G17" s="75"/>
      <c r="H17" s="178"/>
      <c r="I17" s="202"/>
      <c r="J17" s="185"/>
      <c r="K17" s="186"/>
      <c r="L17" s="180"/>
      <c r="M17" s="75"/>
    </row>
    <row r="18" spans="2:13" ht="17.100000000000001" customHeight="1" x14ac:dyDescent="0.4">
      <c r="B18" s="36"/>
      <c r="C18" s="36"/>
      <c r="D18" s="36"/>
      <c r="E18" s="75"/>
      <c r="F18" s="75"/>
      <c r="G18" s="75"/>
      <c r="H18" s="178"/>
      <c r="I18" s="202"/>
      <c r="J18" s="185"/>
      <c r="K18" s="186"/>
      <c r="L18" s="180"/>
      <c r="M18" s="75"/>
    </row>
    <row r="19" spans="2:13" ht="17.100000000000001" customHeight="1" x14ac:dyDescent="0.4">
      <c r="B19" s="76"/>
      <c r="C19" s="76"/>
      <c r="D19" s="76"/>
      <c r="E19" s="83"/>
      <c r="F19" s="83"/>
      <c r="G19" s="83"/>
      <c r="H19" s="191"/>
      <c r="I19" s="203"/>
      <c r="J19" s="187"/>
      <c r="K19" s="188"/>
      <c r="L19" s="181"/>
      <c r="M19" s="83"/>
    </row>
  </sheetData>
  <phoneticPr fontId="1"/>
  <dataValidations count="2">
    <dataValidation type="list" allowBlank="1" showInputMessage="1" showErrorMessage="1" sqref="J5:K19" xr:uid="{56207DF8-DD90-4748-BCF6-CAD8BD88D717}">
      <formula1>勘定科目</formula1>
    </dataValidation>
    <dataValidation type="list" allowBlank="1" showInputMessage="1" showErrorMessage="1" sqref="I5:I9" xr:uid="{45F1B91B-E7B3-42B2-B0C8-322127CD37FB}">
      <formula1>歳入_予算科目</formula1>
    </dataValidation>
  </dataValidations>
  <pageMargins left="0.7" right="0.7" top="0.75" bottom="0.75" header="0.3" footer="0.3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FB58-4355-4FF5-B005-81A4002438DD}">
  <sheetPr>
    <tabColor theme="7"/>
  </sheetPr>
  <dimension ref="A1:U201"/>
  <sheetViews>
    <sheetView view="pageBreakPreview" zoomScale="70" zoomScaleNormal="100" zoomScaleSheetLayoutView="70" workbookViewId="0">
      <pane xSplit="5" ySplit="5" topLeftCell="G6" activePane="bottomRight" state="frozen"/>
      <selection pane="topRight"/>
      <selection pane="bottomLeft"/>
      <selection pane="bottomRight" activeCell="D196" sqref="D196"/>
    </sheetView>
  </sheetViews>
  <sheetFormatPr defaultColWidth="10.625" defaultRowHeight="15" customHeight="1" x14ac:dyDescent="0.4"/>
  <cols>
    <col min="1" max="1" width="15.625" style="294" customWidth="1"/>
    <col min="2" max="2" width="3.625" style="89" customWidth="1"/>
    <col min="3" max="3" width="29.75" style="89" bestFit="1" customWidth="1"/>
    <col min="4" max="19" width="15.625" style="89" customWidth="1"/>
    <col min="20" max="20" width="13" style="89" bestFit="1" customWidth="1"/>
    <col min="21" max="16384" width="10.625" style="89"/>
  </cols>
  <sheetData>
    <row r="1" spans="1:19" ht="15" customHeight="1" x14ac:dyDescent="0.4">
      <c r="B1" s="21" t="str">
        <f>"令和"&amp;チェックシート!$C$3&amp;"年度"</f>
        <v>令和5年度</v>
      </c>
    </row>
    <row r="2" spans="1:19" ht="15" customHeight="1" x14ac:dyDescent="0.4">
      <c r="B2" s="281" t="str">
        <f>チェックシート!$C$2</f>
        <v>白子町</v>
      </c>
      <c r="D2" s="204" t="s">
        <v>547</v>
      </c>
    </row>
    <row r="3" spans="1:19" ht="15" customHeight="1" thickBot="1" x14ac:dyDescent="0.45">
      <c r="C3" s="90" t="s">
        <v>419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207" t="s">
        <v>548</v>
      </c>
    </row>
    <row r="4" spans="1:19" ht="15" customHeight="1" x14ac:dyDescent="0.4">
      <c r="A4" s="295" t="s">
        <v>420</v>
      </c>
      <c r="C4" s="387" t="s">
        <v>365</v>
      </c>
      <c r="D4" s="382" t="s">
        <v>421</v>
      </c>
      <c r="E4" s="383"/>
      <c r="F4" s="382" t="s">
        <v>422</v>
      </c>
      <c r="G4" s="383"/>
      <c r="H4" s="382" t="s">
        <v>231</v>
      </c>
      <c r="I4" s="383"/>
      <c r="J4" s="382" t="s">
        <v>423</v>
      </c>
      <c r="K4" s="389"/>
      <c r="L4" s="382" t="s">
        <v>622</v>
      </c>
      <c r="M4" s="383"/>
      <c r="N4" s="382"/>
      <c r="O4" s="383"/>
      <c r="P4" s="382" t="s">
        <v>425</v>
      </c>
      <c r="Q4" s="384"/>
      <c r="R4" s="385" t="s">
        <v>426</v>
      </c>
      <c r="S4" s="386"/>
    </row>
    <row r="5" spans="1:19" ht="15" customHeight="1" x14ac:dyDescent="0.4">
      <c r="A5" s="296" t="s">
        <v>365</v>
      </c>
      <c r="C5" s="388"/>
      <c r="D5" s="92" t="s">
        <v>234</v>
      </c>
      <c r="E5" s="92" t="s">
        <v>235</v>
      </c>
      <c r="F5" s="92" t="s">
        <v>234</v>
      </c>
      <c r="G5" s="92" t="s">
        <v>235</v>
      </c>
      <c r="H5" s="92" t="s">
        <v>234</v>
      </c>
      <c r="I5" s="92" t="s">
        <v>235</v>
      </c>
      <c r="J5" s="92" t="s">
        <v>234</v>
      </c>
      <c r="K5" s="93" t="s">
        <v>235</v>
      </c>
      <c r="L5" s="92" t="s">
        <v>234</v>
      </c>
      <c r="M5" s="93" t="s">
        <v>235</v>
      </c>
      <c r="N5" s="92" t="s">
        <v>234</v>
      </c>
      <c r="O5" s="93" t="s">
        <v>235</v>
      </c>
      <c r="P5" s="92" t="s">
        <v>234</v>
      </c>
      <c r="Q5" s="93" t="s">
        <v>235</v>
      </c>
      <c r="R5" s="94" t="s">
        <v>234</v>
      </c>
      <c r="S5" s="95" t="s">
        <v>235</v>
      </c>
    </row>
    <row r="6" spans="1:19" ht="15" customHeight="1" x14ac:dyDescent="0.4">
      <c r="A6" s="297"/>
      <c r="C6" s="96" t="s">
        <v>119</v>
      </c>
      <c r="D6" s="64"/>
      <c r="E6" s="64"/>
      <c r="F6" s="64"/>
      <c r="G6" s="64"/>
      <c r="H6" s="64"/>
      <c r="I6" s="64"/>
      <c r="J6" s="64"/>
      <c r="K6" s="97"/>
      <c r="L6" s="64"/>
      <c r="M6" s="64"/>
      <c r="N6" s="64"/>
      <c r="O6" s="64"/>
      <c r="P6" s="64"/>
      <c r="Q6" s="98"/>
      <c r="R6" s="99"/>
      <c r="S6" s="100"/>
    </row>
    <row r="7" spans="1:19" ht="15" customHeight="1" x14ac:dyDescent="0.4">
      <c r="A7" s="297"/>
      <c r="C7" s="101" t="s">
        <v>121</v>
      </c>
      <c r="D7" s="68">
        <f>D8+D36+D40</f>
        <v>12738338146</v>
      </c>
      <c r="E7" s="68"/>
      <c r="F7" s="68">
        <f t="shared" ref="F7:R7" si="0">F8+F36+F40</f>
        <v>0</v>
      </c>
      <c r="G7" s="68">
        <f t="shared" si="0"/>
        <v>131390916</v>
      </c>
      <c r="H7" s="68">
        <f t="shared" si="0"/>
        <v>176103663</v>
      </c>
      <c r="I7" s="68">
        <f t="shared" si="0"/>
        <v>0</v>
      </c>
      <c r="J7" s="68">
        <f t="shared" si="0"/>
        <v>535249491</v>
      </c>
      <c r="K7" s="102">
        <f t="shared" si="0"/>
        <v>654875730</v>
      </c>
      <c r="L7" s="102">
        <f t="shared" si="0"/>
        <v>0</v>
      </c>
      <c r="M7" s="102">
        <f t="shared" si="0"/>
        <v>0</v>
      </c>
      <c r="N7" s="102">
        <f>N8+N36+N40</f>
        <v>0</v>
      </c>
      <c r="O7" s="102">
        <f>O8+O36+O40</f>
        <v>0</v>
      </c>
      <c r="P7" s="102">
        <f t="shared" si="0"/>
        <v>0</v>
      </c>
      <c r="Q7" s="102">
        <f t="shared" si="0"/>
        <v>0</v>
      </c>
      <c r="R7" s="103">
        <f t="shared" si="0"/>
        <v>12663424654</v>
      </c>
      <c r="S7" s="104"/>
    </row>
    <row r="8" spans="1:19" ht="15" customHeight="1" x14ac:dyDescent="0.4">
      <c r="A8" s="297"/>
      <c r="C8" s="101" t="s">
        <v>123</v>
      </c>
      <c r="D8" s="68">
        <f>D9+D25+D34+D35</f>
        <v>10956447876</v>
      </c>
      <c r="E8" s="68"/>
      <c r="F8" s="68">
        <f t="shared" ref="F8:R8" si="1">F9+F25+F34+F35</f>
        <v>0</v>
      </c>
      <c r="G8" s="68">
        <f t="shared" si="1"/>
        <v>0</v>
      </c>
      <c r="H8" s="68">
        <f t="shared" si="1"/>
        <v>0</v>
      </c>
      <c r="I8" s="68">
        <f t="shared" si="1"/>
        <v>0</v>
      </c>
      <c r="J8" s="68">
        <f t="shared" si="1"/>
        <v>500939837</v>
      </c>
      <c r="K8" s="102">
        <f>K9+K25+K34+K35</f>
        <v>604240175</v>
      </c>
      <c r="L8" s="102">
        <f t="shared" ref="L8:Q8" si="2">L9+L25+L34+L35</f>
        <v>0</v>
      </c>
      <c r="M8" s="102">
        <f t="shared" si="2"/>
        <v>0</v>
      </c>
      <c r="N8" s="102">
        <f>N9+N25+N34+N35</f>
        <v>0</v>
      </c>
      <c r="O8" s="102">
        <f>O9+O25+O34+O35</f>
        <v>0</v>
      </c>
      <c r="P8" s="102">
        <f t="shared" si="2"/>
        <v>0</v>
      </c>
      <c r="Q8" s="102">
        <f t="shared" si="2"/>
        <v>0</v>
      </c>
      <c r="R8" s="103">
        <f t="shared" si="1"/>
        <v>10853147538</v>
      </c>
      <c r="S8" s="104"/>
    </row>
    <row r="9" spans="1:19" ht="15" customHeight="1" x14ac:dyDescent="0.4">
      <c r="A9" s="297"/>
      <c r="C9" s="101" t="s">
        <v>125</v>
      </c>
      <c r="D9" s="68">
        <f>SUM(D10:D24)</f>
        <v>5736338328</v>
      </c>
      <c r="E9" s="68"/>
      <c r="F9" s="68">
        <f t="shared" ref="F9:R9" si="3">SUM(F10:F24)</f>
        <v>0</v>
      </c>
      <c r="G9" s="68">
        <f t="shared" si="3"/>
        <v>0</v>
      </c>
      <c r="H9" s="68">
        <f t="shared" si="3"/>
        <v>0</v>
      </c>
      <c r="I9" s="68">
        <f t="shared" si="3"/>
        <v>0</v>
      </c>
      <c r="J9" s="68">
        <f t="shared" si="3"/>
        <v>341445164</v>
      </c>
      <c r="K9" s="102">
        <f t="shared" si="3"/>
        <v>341556718</v>
      </c>
      <c r="L9" s="102">
        <f t="shared" si="3"/>
        <v>0</v>
      </c>
      <c r="M9" s="102">
        <f t="shared" si="3"/>
        <v>0</v>
      </c>
      <c r="N9" s="102">
        <f>SUM(N10:N24)</f>
        <v>0</v>
      </c>
      <c r="O9" s="102">
        <f>SUM(O10:O24)</f>
        <v>0</v>
      </c>
      <c r="P9" s="102">
        <f t="shared" si="3"/>
        <v>0</v>
      </c>
      <c r="Q9" s="102">
        <f t="shared" si="3"/>
        <v>0</v>
      </c>
      <c r="R9" s="103">
        <f t="shared" si="3"/>
        <v>5736226774</v>
      </c>
      <c r="S9" s="104"/>
    </row>
    <row r="10" spans="1:19" ht="15" customHeight="1" x14ac:dyDescent="0.4">
      <c r="A10" s="297" t="s">
        <v>0</v>
      </c>
      <c r="C10" s="101" t="s">
        <v>127</v>
      </c>
      <c r="D10" s="68">
        <f>開始BS!$B$10</f>
        <v>2055705051</v>
      </c>
      <c r="E10" s="68"/>
      <c r="F10" s="105">
        <f>SUMIF(歳入!I:I,精算表!A10,歳入!K:K)</f>
        <v>0</v>
      </c>
      <c r="G10" s="105">
        <f>SUMIF(歳入!J:J,精算表!A10,歳入!K:K)</f>
        <v>0</v>
      </c>
      <c r="H10" s="105">
        <f>SUMIF(歳出!H:H,精算表!A10,歳出!J:J)</f>
        <v>0</v>
      </c>
      <c r="I10" s="105">
        <f>SUMIF(歳出!I:I,精算表!A10,歳出!J:J)</f>
        <v>0</v>
      </c>
      <c r="J10" s="105">
        <f>SUMIF(決算整理!C:C,精算表!A10,決算整理!E:E)</f>
        <v>12369030</v>
      </c>
      <c r="K10" s="106">
        <f>SUMIF(決算整理!D:D,精算表!A10,決算整理!E:E)</f>
        <v>884086</v>
      </c>
      <c r="L10" s="105"/>
      <c r="M10" s="105"/>
      <c r="N10" s="105"/>
      <c r="O10" s="105"/>
      <c r="P10" s="105">
        <f>SUMIF(相殺仕訳!J:J,精算表!A10,相殺仕訳!L:L)</f>
        <v>0</v>
      </c>
      <c r="Q10" s="107">
        <f>SUMIF(相殺仕訳!K:K,精算表!A10,相殺仕訳!L:L)</f>
        <v>0</v>
      </c>
      <c r="R10" s="108">
        <f t="shared" ref="R10:R24" si="4">D10+F10-G10+H10-I10+J10-K10+L10-M10+N10-O10+P10-Q10</f>
        <v>2067189995</v>
      </c>
      <c r="S10" s="109"/>
    </row>
    <row r="11" spans="1:19" ht="15" customHeight="1" x14ac:dyDescent="0.4">
      <c r="A11" s="297" t="s">
        <v>376</v>
      </c>
      <c r="C11" s="101" t="s">
        <v>129</v>
      </c>
      <c r="D11" s="68">
        <f>開始BS!$B$11</f>
        <v>0</v>
      </c>
      <c r="E11" s="68"/>
      <c r="F11" s="105">
        <f>SUMIF(歳入!I:I,精算表!A11,歳入!K:K)</f>
        <v>0</v>
      </c>
      <c r="G11" s="105">
        <f>SUMIF(歳入!J:J,精算表!A11,歳入!K:K)</f>
        <v>0</v>
      </c>
      <c r="H11" s="105">
        <f>SUMIF(歳出!H:H,精算表!A11,歳出!J:J)</f>
        <v>0</v>
      </c>
      <c r="I11" s="105">
        <f>SUMIF(歳出!I:I,精算表!A11,歳出!J:J)</f>
        <v>0</v>
      </c>
      <c r="J11" s="105">
        <f>SUMIF(決算整理!C:C,精算表!A11,決算整理!E:E)</f>
        <v>0</v>
      </c>
      <c r="K11" s="106">
        <f>SUMIF(決算整理!D:D,精算表!A11,決算整理!E:E)</f>
        <v>0</v>
      </c>
      <c r="L11" s="105"/>
      <c r="M11" s="105"/>
      <c r="N11" s="105"/>
      <c r="O11" s="105"/>
      <c r="P11" s="105">
        <f>SUMIF(相殺仕訳!J:J,精算表!A11,相殺仕訳!L:L)</f>
        <v>0</v>
      </c>
      <c r="Q11" s="107">
        <f>SUMIF(相殺仕訳!K:K,精算表!A11,相殺仕訳!L:L)</f>
        <v>0</v>
      </c>
      <c r="R11" s="108">
        <f t="shared" si="4"/>
        <v>0</v>
      </c>
      <c r="S11" s="109"/>
    </row>
    <row r="12" spans="1:19" ht="15" customHeight="1" x14ac:dyDescent="0.4">
      <c r="A12" s="297" t="s">
        <v>2</v>
      </c>
      <c r="C12" s="101" t="s">
        <v>131</v>
      </c>
      <c r="D12" s="68">
        <f>開始BS!$B$12</f>
        <v>8287032682</v>
      </c>
      <c r="E12" s="68"/>
      <c r="F12" s="105">
        <f>SUMIF(歳入!I:I,精算表!A12,歳入!K:K)</f>
        <v>0</v>
      </c>
      <c r="G12" s="105">
        <f>SUMIF(歳入!J:J,精算表!A12,歳入!K:K)</f>
        <v>0</v>
      </c>
      <c r="H12" s="105">
        <f>SUMIF(歳出!H:H,精算表!A12,歳出!J:J)</f>
        <v>0</v>
      </c>
      <c r="I12" s="105">
        <f>SUMIF(歳出!I:I,精算表!A12,歳出!J:J)</f>
        <v>0</v>
      </c>
      <c r="J12" s="105">
        <f>SUMIF(決算整理!C:C,精算表!A12,決算整理!E:E)</f>
        <v>207071805</v>
      </c>
      <c r="K12" s="106">
        <f>SUMIF(決算整理!D:D,精算表!A12,決算整理!E:E)</f>
        <v>87410691</v>
      </c>
      <c r="L12" s="105"/>
      <c r="M12" s="105"/>
      <c r="N12" s="105"/>
      <c r="O12" s="105"/>
      <c r="P12" s="105">
        <f>SUMIF(相殺仕訳!J:J,精算表!A12,相殺仕訳!L:L)</f>
        <v>0</v>
      </c>
      <c r="Q12" s="107">
        <f>SUMIF(相殺仕訳!K:K,精算表!A12,相殺仕訳!L:L)</f>
        <v>0</v>
      </c>
      <c r="R12" s="108">
        <f t="shared" si="4"/>
        <v>8406693796</v>
      </c>
      <c r="S12" s="109"/>
    </row>
    <row r="13" spans="1:19" ht="15" customHeight="1" x14ac:dyDescent="0.4">
      <c r="A13" s="297" t="s">
        <v>427</v>
      </c>
      <c r="C13" s="101" t="s">
        <v>133</v>
      </c>
      <c r="D13" s="68">
        <f>開始BS!$B$13</f>
        <v>-5853649778</v>
      </c>
      <c r="E13" s="68"/>
      <c r="F13" s="105">
        <f>SUMIF(歳入!I:I,精算表!A13,歳入!K:K)</f>
        <v>0</v>
      </c>
      <c r="G13" s="105">
        <f>SUMIF(歳入!J:J,精算表!A13,歳入!K:K)</f>
        <v>0</v>
      </c>
      <c r="H13" s="105">
        <f>SUMIF(歳出!H:H,精算表!A13,歳出!J:J)</f>
        <v>0</v>
      </c>
      <c r="I13" s="105">
        <f>SUMIF(歳出!I:I,精算表!A13,歳出!J:J)</f>
        <v>0</v>
      </c>
      <c r="J13" s="105">
        <f>SUMIF(決算整理!C:C,精算表!A13,決算整理!E:E)</f>
        <v>87410691</v>
      </c>
      <c r="K13" s="106">
        <f>SUMIF(決算整理!D:D,精算表!A13,決算整理!E:E)</f>
        <v>187457838</v>
      </c>
      <c r="L13" s="105"/>
      <c r="M13" s="105"/>
      <c r="N13" s="105"/>
      <c r="O13" s="105"/>
      <c r="P13" s="105">
        <f>SUMIF(相殺仕訳!J:J,精算表!A13,相殺仕訳!L:L)</f>
        <v>0</v>
      </c>
      <c r="Q13" s="107">
        <f>SUMIF(相殺仕訳!K:K,精算表!A13,相殺仕訳!L:L)</f>
        <v>0</v>
      </c>
      <c r="R13" s="108">
        <f t="shared" si="4"/>
        <v>-5953696925</v>
      </c>
      <c r="S13" s="109"/>
    </row>
    <row r="14" spans="1:19" ht="15" customHeight="1" x14ac:dyDescent="0.4">
      <c r="A14" s="297" t="s">
        <v>428</v>
      </c>
      <c r="C14" s="101" t="s">
        <v>135</v>
      </c>
      <c r="D14" s="68">
        <f>開始BS!$B$14</f>
        <v>2520918780</v>
      </c>
      <c r="E14" s="68"/>
      <c r="F14" s="105">
        <f>SUMIF(歳入!I:I,精算表!A14,歳入!K:K)</f>
        <v>0</v>
      </c>
      <c r="G14" s="105">
        <f>SUMIF(歳入!J:J,精算表!A14,歳入!K:K)</f>
        <v>0</v>
      </c>
      <c r="H14" s="105">
        <f>SUMIF(歳出!H:H,精算表!A14,歳出!J:J)</f>
        <v>0</v>
      </c>
      <c r="I14" s="105">
        <f>SUMIF(歳出!I:I,精算表!A14,歳出!J:J)</f>
        <v>0</v>
      </c>
      <c r="J14" s="105">
        <f>SUMIF(決算整理!C:C,精算表!A14,決算整理!E:E)</f>
        <v>34593638</v>
      </c>
      <c r="K14" s="106">
        <f>SUMIF(決算整理!D:D,精算表!A14,決算整理!E:E)</f>
        <v>0</v>
      </c>
      <c r="L14" s="105"/>
      <c r="M14" s="105"/>
      <c r="N14" s="105"/>
      <c r="O14" s="105"/>
      <c r="P14" s="105">
        <f>SUMIF(相殺仕訳!J:J,精算表!A14,相殺仕訳!L:L)</f>
        <v>0</v>
      </c>
      <c r="Q14" s="107">
        <f>SUMIF(相殺仕訳!K:K,精算表!A14,相殺仕訳!L:L)</f>
        <v>0</v>
      </c>
      <c r="R14" s="108">
        <f t="shared" si="4"/>
        <v>2555512418</v>
      </c>
      <c r="S14" s="109"/>
    </row>
    <row r="15" spans="1:19" ht="15" customHeight="1" x14ac:dyDescent="0.4">
      <c r="A15" s="297" t="s">
        <v>429</v>
      </c>
      <c r="C15" s="101" t="s">
        <v>137</v>
      </c>
      <c r="D15" s="68">
        <f>開始BS!$B$15</f>
        <v>-1282639347</v>
      </c>
      <c r="E15" s="68"/>
      <c r="F15" s="105">
        <f>SUMIF(歳入!I:I,精算表!A15,歳入!K:K)</f>
        <v>0</v>
      </c>
      <c r="G15" s="105">
        <f>SUMIF(歳入!J:J,精算表!A15,歳入!K:K)</f>
        <v>0</v>
      </c>
      <c r="H15" s="105">
        <f>SUMIF(歳出!H:H,精算表!A15,歳出!J:J)</f>
        <v>0</v>
      </c>
      <c r="I15" s="105">
        <f>SUMIF(歳出!I:I,精算表!A15,歳出!J:J)</f>
        <v>0</v>
      </c>
      <c r="J15" s="105">
        <f>SUMIF(決算整理!C:C,精算表!A15,決算整理!E:E)</f>
        <v>0</v>
      </c>
      <c r="K15" s="106">
        <f>SUMIF(決算整理!D:D,精算表!A15,決算整理!E:E)</f>
        <v>65804103</v>
      </c>
      <c r="L15" s="105"/>
      <c r="M15" s="105"/>
      <c r="N15" s="105"/>
      <c r="O15" s="105"/>
      <c r="P15" s="105">
        <f>SUMIF(相殺仕訳!J:J,精算表!A15,相殺仕訳!L:L)</f>
        <v>0</v>
      </c>
      <c r="Q15" s="107">
        <f>SUMIF(相殺仕訳!K:K,精算表!A15,相殺仕訳!L:L)</f>
        <v>0</v>
      </c>
      <c r="R15" s="108">
        <f t="shared" si="4"/>
        <v>-1348443450</v>
      </c>
      <c r="S15" s="109"/>
    </row>
    <row r="16" spans="1:19" ht="15" customHeight="1" x14ac:dyDescent="0.4">
      <c r="A16" s="297" t="s">
        <v>6</v>
      </c>
      <c r="C16" s="101" t="s">
        <v>139</v>
      </c>
      <c r="D16" s="68">
        <f>開始BS!$B$16</f>
        <v>0</v>
      </c>
      <c r="E16" s="68"/>
      <c r="F16" s="105">
        <f>SUMIF(歳入!I:I,精算表!A16,歳入!K:K)</f>
        <v>0</v>
      </c>
      <c r="G16" s="105">
        <f>SUMIF(歳入!J:J,精算表!A16,歳入!K:K)</f>
        <v>0</v>
      </c>
      <c r="H16" s="105">
        <f>SUMIF(歳出!H:H,精算表!A16,歳出!J:J)</f>
        <v>0</v>
      </c>
      <c r="I16" s="105">
        <f>SUMIF(歳出!I:I,精算表!A16,歳出!J:J)</f>
        <v>0</v>
      </c>
      <c r="J16" s="105">
        <f>SUMIF(決算整理!C:C,精算表!A16,決算整理!E:E)</f>
        <v>0</v>
      </c>
      <c r="K16" s="106">
        <f>SUMIF(決算整理!D:D,精算表!A16,決算整理!E:E)</f>
        <v>0</v>
      </c>
      <c r="L16" s="105"/>
      <c r="M16" s="105"/>
      <c r="N16" s="105"/>
      <c r="O16" s="105"/>
      <c r="P16" s="105">
        <f>SUMIF(相殺仕訳!J:J,精算表!A16,相殺仕訳!L:L)</f>
        <v>0</v>
      </c>
      <c r="Q16" s="107">
        <f>SUMIF(相殺仕訳!K:K,精算表!A16,相殺仕訳!L:L)</f>
        <v>0</v>
      </c>
      <c r="R16" s="108">
        <f t="shared" si="4"/>
        <v>0</v>
      </c>
      <c r="S16" s="109"/>
    </row>
    <row r="17" spans="1:19" ht="15" customHeight="1" x14ac:dyDescent="0.4">
      <c r="A17" s="297" t="s">
        <v>7</v>
      </c>
      <c r="C17" s="101" t="s">
        <v>141</v>
      </c>
      <c r="D17" s="68">
        <f>開始BS!$B$17</f>
        <v>0</v>
      </c>
      <c r="E17" s="68"/>
      <c r="F17" s="105">
        <f>SUMIF(歳入!I:I,精算表!A17,歳入!K:K)</f>
        <v>0</v>
      </c>
      <c r="G17" s="105">
        <f>SUMIF(歳入!J:J,精算表!A17,歳入!K:K)</f>
        <v>0</v>
      </c>
      <c r="H17" s="105">
        <f>SUMIF(歳出!H:H,精算表!A17,歳出!J:J)</f>
        <v>0</v>
      </c>
      <c r="I17" s="105">
        <f>SUMIF(歳出!I:I,精算表!A17,歳出!J:J)</f>
        <v>0</v>
      </c>
      <c r="J17" s="105">
        <f>SUMIF(決算整理!C:C,精算表!A17,決算整理!E:E)</f>
        <v>0</v>
      </c>
      <c r="K17" s="106">
        <f>SUMIF(決算整理!D:D,精算表!A17,決算整理!E:E)</f>
        <v>0</v>
      </c>
      <c r="L17" s="105"/>
      <c r="M17" s="105"/>
      <c r="N17" s="105"/>
      <c r="O17" s="105"/>
      <c r="P17" s="105">
        <f>SUMIF(相殺仕訳!J:J,精算表!A17,相殺仕訳!L:L)</f>
        <v>0</v>
      </c>
      <c r="Q17" s="107">
        <f>SUMIF(相殺仕訳!K:K,精算表!A17,相殺仕訳!L:L)</f>
        <v>0</v>
      </c>
      <c r="R17" s="108">
        <f t="shared" si="4"/>
        <v>0</v>
      </c>
      <c r="S17" s="109"/>
    </row>
    <row r="18" spans="1:19" ht="15" customHeight="1" x14ac:dyDescent="0.4">
      <c r="A18" s="297" t="s">
        <v>8</v>
      </c>
      <c r="C18" s="101" t="s">
        <v>143</v>
      </c>
      <c r="D18" s="68">
        <f>開始BS!$B$18</f>
        <v>0</v>
      </c>
      <c r="E18" s="68"/>
      <c r="F18" s="105">
        <f>SUMIF(歳入!I:I,精算表!A18,歳入!K:K)</f>
        <v>0</v>
      </c>
      <c r="G18" s="105">
        <f>SUMIF(歳入!J:J,精算表!A18,歳入!K:K)</f>
        <v>0</v>
      </c>
      <c r="H18" s="105">
        <f>SUMIF(歳出!H:H,精算表!A18,歳出!J:J)</f>
        <v>0</v>
      </c>
      <c r="I18" s="105">
        <f>SUMIF(歳出!I:I,精算表!A18,歳出!J:J)</f>
        <v>0</v>
      </c>
      <c r="J18" s="105">
        <f>SUMIF(決算整理!C:C,精算表!A18,決算整理!E:E)</f>
        <v>0</v>
      </c>
      <c r="K18" s="106">
        <f>SUMIF(決算整理!D:D,精算表!A18,決算整理!E:E)</f>
        <v>0</v>
      </c>
      <c r="L18" s="105"/>
      <c r="M18" s="105"/>
      <c r="N18" s="105"/>
      <c r="O18" s="105"/>
      <c r="P18" s="105">
        <f>SUMIF(相殺仕訳!J:J,精算表!A18,相殺仕訳!L:L)</f>
        <v>0</v>
      </c>
      <c r="Q18" s="107">
        <f>SUMIF(相殺仕訳!K:K,精算表!A18,相殺仕訳!L:L)</f>
        <v>0</v>
      </c>
      <c r="R18" s="108">
        <f t="shared" si="4"/>
        <v>0</v>
      </c>
      <c r="S18" s="109"/>
    </row>
    <row r="19" spans="1:19" ht="15" customHeight="1" x14ac:dyDescent="0.4">
      <c r="A19" s="297" t="s">
        <v>9</v>
      </c>
      <c r="C19" s="101" t="s">
        <v>145</v>
      </c>
      <c r="D19" s="68">
        <f>開始BS!$B$19</f>
        <v>0</v>
      </c>
      <c r="E19" s="68"/>
      <c r="F19" s="105">
        <f>SUMIF(歳入!I:I,精算表!A19,歳入!K:K)</f>
        <v>0</v>
      </c>
      <c r="G19" s="105">
        <f>SUMIF(歳入!J:J,精算表!A19,歳入!K:K)</f>
        <v>0</v>
      </c>
      <c r="H19" s="105">
        <f>SUMIF(歳出!H:H,精算表!A19,歳出!J:J)</f>
        <v>0</v>
      </c>
      <c r="I19" s="105">
        <f>SUMIF(歳出!I:I,精算表!A19,歳出!J:J)</f>
        <v>0</v>
      </c>
      <c r="J19" s="105">
        <f>SUMIF(決算整理!C:C,精算表!A19,決算整理!E:E)</f>
        <v>0</v>
      </c>
      <c r="K19" s="106">
        <f>SUMIF(決算整理!D:D,精算表!A19,決算整理!E:E)</f>
        <v>0</v>
      </c>
      <c r="L19" s="105"/>
      <c r="M19" s="105"/>
      <c r="N19" s="105"/>
      <c r="O19" s="105"/>
      <c r="P19" s="105">
        <f>SUMIF(相殺仕訳!J:J,精算表!A19,相殺仕訳!L:L)</f>
        <v>0</v>
      </c>
      <c r="Q19" s="107">
        <f>SUMIF(相殺仕訳!K:K,精算表!A19,相殺仕訳!L:L)</f>
        <v>0</v>
      </c>
      <c r="R19" s="108">
        <f t="shared" si="4"/>
        <v>0</v>
      </c>
      <c r="S19" s="109"/>
    </row>
    <row r="20" spans="1:19" ht="15" customHeight="1" x14ac:dyDescent="0.4">
      <c r="A20" s="297" t="s">
        <v>10</v>
      </c>
      <c r="C20" s="101" t="s">
        <v>147</v>
      </c>
      <c r="D20" s="68">
        <f>開始BS!$B$20</f>
        <v>0</v>
      </c>
      <c r="E20" s="68"/>
      <c r="F20" s="105">
        <f>SUMIF(歳入!I:I,精算表!A20,歳入!K:K)</f>
        <v>0</v>
      </c>
      <c r="G20" s="105">
        <f>SUMIF(歳入!J:J,精算表!A20,歳入!K:K)</f>
        <v>0</v>
      </c>
      <c r="H20" s="105">
        <f>SUMIF(歳出!H:H,精算表!A20,歳出!J:J)</f>
        <v>0</v>
      </c>
      <c r="I20" s="105">
        <f>SUMIF(歳出!I:I,精算表!A20,歳出!J:J)</f>
        <v>0</v>
      </c>
      <c r="J20" s="105">
        <f>SUMIF(決算整理!C:C,精算表!A20,決算整理!E:E)</f>
        <v>0</v>
      </c>
      <c r="K20" s="106">
        <f>SUMIF(決算整理!D:D,精算表!A20,決算整理!E:E)</f>
        <v>0</v>
      </c>
      <c r="L20" s="105"/>
      <c r="M20" s="105"/>
      <c r="N20" s="105"/>
      <c r="O20" s="105"/>
      <c r="P20" s="105">
        <f>SUMIF(相殺仕訳!J:J,精算表!A20,相殺仕訳!L:L)</f>
        <v>0</v>
      </c>
      <c r="Q20" s="107">
        <f>SUMIF(相殺仕訳!K:K,精算表!A20,相殺仕訳!L:L)</f>
        <v>0</v>
      </c>
      <c r="R20" s="108">
        <f t="shared" si="4"/>
        <v>0</v>
      </c>
      <c r="S20" s="109"/>
    </row>
    <row r="21" spans="1:19" ht="15" customHeight="1" x14ac:dyDescent="0.4">
      <c r="A21" s="297" t="s">
        <v>11</v>
      </c>
      <c r="C21" s="101" t="s">
        <v>149</v>
      </c>
      <c r="D21" s="68">
        <f>開始BS!$B$21</f>
        <v>0</v>
      </c>
      <c r="E21" s="68"/>
      <c r="F21" s="105">
        <f>SUMIF(歳入!I:I,精算表!A21,歳入!K:K)</f>
        <v>0</v>
      </c>
      <c r="G21" s="105">
        <f>SUMIF(歳入!J:J,精算表!A21,歳入!K:K)</f>
        <v>0</v>
      </c>
      <c r="H21" s="105">
        <f>SUMIF(歳出!H:H,精算表!A21,歳出!J:J)</f>
        <v>0</v>
      </c>
      <c r="I21" s="105">
        <f>SUMIF(歳出!I:I,精算表!A21,歳出!J:J)</f>
        <v>0</v>
      </c>
      <c r="J21" s="105">
        <f>SUMIF(決算整理!C:C,精算表!A21,決算整理!E:E)</f>
        <v>0</v>
      </c>
      <c r="K21" s="106">
        <f>SUMIF(決算整理!D:D,精算表!A21,決算整理!E:E)</f>
        <v>0</v>
      </c>
      <c r="L21" s="105"/>
      <c r="M21" s="105"/>
      <c r="N21" s="105"/>
      <c r="O21" s="105"/>
      <c r="P21" s="105">
        <f>SUMIF(相殺仕訳!J:J,精算表!A21,相殺仕訳!L:L)</f>
        <v>0</v>
      </c>
      <c r="Q21" s="107">
        <f>SUMIF(相殺仕訳!K:K,精算表!A21,相殺仕訳!L:L)</f>
        <v>0</v>
      </c>
      <c r="R21" s="108">
        <f t="shared" si="4"/>
        <v>0</v>
      </c>
      <c r="S21" s="109"/>
    </row>
    <row r="22" spans="1:19" ht="15" customHeight="1" x14ac:dyDescent="0.4">
      <c r="A22" s="297" t="s">
        <v>12</v>
      </c>
      <c r="C22" s="101" t="s">
        <v>150</v>
      </c>
      <c r="D22" s="68">
        <f>開始BS!$B$22</f>
        <v>0</v>
      </c>
      <c r="E22" s="68"/>
      <c r="F22" s="105">
        <f>SUMIF(歳入!I:I,精算表!A22,歳入!K:K)</f>
        <v>0</v>
      </c>
      <c r="G22" s="105">
        <f>SUMIF(歳入!J:J,精算表!A22,歳入!K:K)</f>
        <v>0</v>
      </c>
      <c r="H22" s="105">
        <f>SUMIF(歳出!H:H,精算表!A22,歳出!J:J)</f>
        <v>0</v>
      </c>
      <c r="I22" s="105">
        <f>SUMIF(歳出!I:I,精算表!A22,歳出!J:J)</f>
        <v>0</v>
      </c>
      <c r="J22" s="105">
        <f>SUMIF(決算整理!C:C,精算表!A22,決算整理!E:E)</f>
        <v>0</v>
      </c>
      <c r="K22" s="106">
        <f>SUMIF(決算整理!D:D,精算表!A22,決算整理!E:E)</f>
        <v>0</v>
      </c>
      <c r="L22" s="105"/>
      <c r="M22" s="105"/>
      <c r="N22" s="105"/>
      <c r="O22" s="105"/>
      <c r="P22" s="105">
        <f>SUMIF(相殺仕訳!J:J,精算表!A22,相殺仕訳!L:L)</f>
        <v>0</v>
      </c>
      <c r="Q22" s="107">
        <f>SUMIF(相殺仕訳!K:K,精算表!A22,相殺仕訳!L:L)</f>
        <v>0</v>
      </c>
      <c r="R22" s="108">
        <f t="shared" si="4"/>
        <v>0</v>
      </c>
      <c r="S22" s="109"/>
    </row>
    <row r="23" spans="1:19" ht="15" customHeight="1" x14ac:dyDescent="0.4">
      <c r="A23" s="297" t="s">
        <v>13</v>
      </c>
      <c r="C23" s="101" t="s">
        <v>152</v>
      </c>
      <c r="D23" s="68">
        <f>開始BS!$B$23</f>
        <v>0</v>
      </c>
      <c r="E23" s="68"/>
      <c r="F23" s="105">
        <f>SUMIF(歳入!I:I,精算表!A23,歳入!K:K)</f>
        <v>0</v>
      </c>
      <c r="G23" s="105">
        <f>SUMIF(歳入!J:J,精算表!A23,歳入!K:K)</f>
        <v>0</v>
      </c>
      <c r="H23" s="105">
        <f>SUMIF(歳出!H:H,精算表!A23,歳出!J:J)</f>
        <v>0</v>
      </c>
      <c r="I23" s="105">
        <f>SUMIF(歳出!I:I,精算表!A23,歳出!J:J)</f>
        <v>0</v>
      </c>
      <c r="J23" s="105">
        <f>SUMIF(決算整理!C:C,精算表!A23,決算整理!E:E)</f>
        <v>0</v>
      </c>
      <c r="K23" s="106">
        <f>SUMIF(決算整理!D:D,精算表!A23,決算整理!E:E)</f>
        <v>0</v>
      </c>
      <c r="L23" s="105"/>
      <c r="M23" s="105"/>
      <c r="N23" s="105"/>
      <c r="O23" s="105"/>
      <c r="P23" s="105">
        <f>SUMIF(相殺仕訳!J:J,精算表!A23,相殺仕訳!L:L)</f>
        <v>0</v>
      </c>
      <c r="Q23" s="107">
        <f>SUMIF(相殺仕訳!K:K,精算表!A23,相殺仕訳!L:L)</f>
        <v>0</v>
      </c>
      <c r="R23" s="108">
        <f t="shared" si="4"/>
        <v>0</v>
      </c>
      <c r="S23" s="109"/>
    </row>
    <row r="24" spans="1:19" ht="15" customHeight="1" x14ac:dyDescent="0.4">
      <c r="A24" s="297" t="s">
        <v>14</v>
      </c>
      <c r="C24" s="101" t="s">
        <v>154</v>
      </c>
      <c r="D24" s="68">
        <f>開始BS!$B$24</f>
        <v>8970940</v>
      </c>
      <c r="E24" s="68"/>
      <c r="F24" s="105">
        <f>SUMIF(歳入!I:I,精算表!A24,歳入!K:K)</f>
        <v>0</v>
      </c>
      <c r="G24" s="105">
        <f>SUMIF(歳入!J:J,精算表!A24,歳入!K:K)</f>
        <v>0</v>
      </c>
      <c r="H24" s="105">
        <f>SUMIF(歳出!H:H,精算表!A24,歳出!J:J)</f>
        <v>0</v>
      </c>
      <c r="I24" s="105">
        <f>SUMIF(歳出!I:I,精算表!A24,歳出!J:J)</f>
        <v>0</v>
      </c>
      <c r="J24" s="105">
        <f>SUMIF(決算整理!C:C,精算表!A24,決算整理!E:E)</f>
        <v>0</v>
      </c>
      <c r="K24" s="106">
        <f>SUMIF(決算整理!D:D,精算表!A24,決算整理!E:E)</f>
        <v>0</v>
      </c>
      <c r="L24" s="105"/>
      <c r="M24" s="105"/>
      <c r="N24" s="105"/>
      <c r="O24" s="105"/>
      <c r="P24" s="105">
        <f>SUMIF(相殺仕訳!J:J,精算表!A24,相殺仕訳!L:L)</f>
        <v>0</v>
      </c>
      <c r="Q24" s="107">
        <f>SUMIF(相殺仕訳!K:K,精算表!A24,相殺仕訳!L:L)</f>
        <v>0</v>
      </c>
      <c r="R24" s="108">
        <f t="shared" si="4"/>
        <v>8970940</v>
      </c>
      <c r="S24" s="109"/>
    </row>
    <row r="25" spans="1:19" ht="15" customHeight="1" x14ac:dyDescent="0.4">
      <c r="A25" s="297"/>
      <c r="C25" s="101" t="s">
        <v>156</v>
      </c>
      <c r="D25" s="68">
        <f>SUM(D26:D33)</f>
        <v>5132321257</v>
      </c>
      <c r="E25" s="68"/>
      <c r="F25" s="68">
        <f t="shared" ref="F25:S25" si="5">SUM(F26:F33)</f>
        <v>0</v>
      </c>
      <c r="G25" s="68">
        <f t="shared" si="5"/>
        <v>0</v>
      </c>
      <c r="H25" s="68">
        <f t="shared" si="5"/>
        <v>0</v>
      </c>
      <c r="I25" s="68">
        <f t="shared" si="5"/>
        <v>0</v>
      </c>
      <c r="J25" s="68">
        <f t="shared" si="5"/>
        <v>156998421</v>
      </c>
      <c r="K25" s="102">
        <f t="shared" si="5"/>
        <v>246357240</v>
      </c>
      <c r="L25" s="102">
        <f t="shared" si="5"/>
        <v>0</v>
      </c>
      <c r="M25" s="102">
        <f t="shared" si="5"/>
        <v>0</v>
      </c>
      <c r="N25" s="102">
        <f>SUM(N26:N33)</f>
        <v>0</v>
      </c>
      <c r="O25" s="102">
        <f>SUM(O26:O33)</f>
        <v>0</v>
      </c>
      <c r="P25" s="102">
        <f t="shared" si="5"/>
        <v>0</v>
      </c>
      <c r="Q25" s="102">
        <f t="shared" si="5"/>
        <v>0</v>
      </c>
      <c r="R25" s="103">
        <f t="shared" si="5"/>
        <v>5042962438</v>
      </c>
      <c r="S25" s="104">
        <f t="shared" si="5"/>
        <v>0</v>
      </c>
    </row>
    <row r="26" spans="1:19" ht="15" customHeight="1" x14ac:dyDescent="0.4">
      <c r="A26" s="297" t="s">
        <v>207</v>
      </c>
      <c r="C26" s="101" t="s">
        <v>127</v>
      </c>
      <c r="D26" s="68">
        <f>開始BS!$B$26</f>
        <v>68949466</v>
      </c>
      <c r="E26" s="68"/>
      <c r="F26" s="105">
        <f>SUMIF(歳入!I:I,精算表!A26,歳入!K:K)</f>
        <v>0</v>
      </c>
      <c r="G26" s="105">
        <f>SUMIF(歳入!J:J,精算表!A26,歳入!K:K)</f>
        <v>0</v>
      </c>
      <c r="H26" s="105">
        <f>SUMIF(歳出!H:H,精算表!A26,歳出!J:J)</f>
        <v>0</v>
      </c>
      <c r="I26" s="105">
        <f>SUMIF(歳出!I:I,精算表!A26,歳出!J:J)</f>
        <v>0</v>
      </c>
      <c r="J26" s="105">
        <f>SUMIF(決算整理!C:C,精算表!A26,決算整理!E:E)</f>
        <v>1483233</v>
      </c>
      <c r="K26" s="106">
        <f>SUMIF(決算整理!D:D,精算表!A26,決算整理!E:E)</f>
        <v>0</v>
      </c>
      <c r="L26" s="105"/>
      <c r="M26" s="105"/>
      <c r="N26" s="105"/>
      <c r="O26" s="105"/>
      <c r="P26" s="105">
        <f>SUMIF(相殺仕訳!J:J,精算表!A26,相殺仕訳!L:L)</f>
        <v>0</v>
      </c>
      <c r="Q26" s="107">
        <f>SUMIF(相殺仕訳!K:K,精算表!A26,相殺仕訳!L:L)</f>
        <v>0</v>
      </c>
      <c r="R26" s="108">
        <f t="shared" ref="R26:R35" si="6">D26+F26-G26+H26-I26+J26-K26+L26-M26+N26-O26+P26-Q26</f>
        <v>70432699</v>
      </c>
      <c r="S26" s="109"/>
    </row>
    <row r="27" spans="1:19" ht="15" customHeight="1" x14ac:dyDescent="0.4">
      <c r="A27" s="297" t="s">
        <v>209</v>
      </c>
      <c r="C27" s="101" t="s">
        <v>131</v>
      </c>
      <c r="D27" s="68">
        <f>開始BS!$B$27</f>
        <v>1233439754</v>
      </c>
      <c r="E27" s="68"/>
      <c r="F27" s="105">
        <f>SUMIF(歳入!I:I,精算表!A27,歳入!K:K)</f>
        <v>0</v>
      </c>
      <c r="G27" s="105">
        <f>SUMIF(歳入!J:J,精算表!A27,歳入!K:K)</f>
        <v>0</v>
      </c>
      <c r="H27" s="105">
        <f>SUMIF(歳出!H:H,精算表!A27,歳出!J:J)</f>
        <v>0</v>
      </c>
      <c r="I27" s="105">
        <f>SUMIF(歳出!I:I,精算表!A27,歳出!J:J)</f>
        <v>0</v>
      </c>
      <c r="J27" s="105">
        <f>SUMIF(決算整理!C:C,精算表!A27,決算整理!E:E)</f>
        <v>1747410</v>
      </c>
      <c r="K27" s="106">
        <f>SUMIF(決算整理!D:D,精算表!A27,決算整理!E:E)</f>
        <v>14265410</v>
      </c>
      <c r="L27" s="105"/>
      <c r="M27" s="105"/>
      <c r="N27" s="105"/>
      <c r="O27" s="105"/>
      <c r="P27" s="105">
        <f>SUMIF(相殺仕訳!J:J,精算表!A27,相殺仕訳!L:L)</f>
        <v>0</v>
      </c>
      <c r="Q27" s="107">
        <f>SUMIF(相殺仕訳!K:K,精算表!A27,相殺仕訳!L:L)</f>
        <v>0</v>
      </c>
      <c r="R27" s="108">
        <f t="shared" si="6"/>
        <v>1220921754</v>
      </c>
      <c r="S27" s="109"/>
    </row>
    <row r="28" spans="1:19" ht="15" customHeight="1" x14ac:dyDescent="0.4">
      <c r="A28" s="297" t="s">
        <v>430</v>
      </c>
      <c r="C28" s="101" t="s">
        <v>133</v>
      </c>
      <c r="D28" s="68">
        <f>開始BS!$B$28</f>
        <v>-608801813</v>
      </c>
      <c r="E28" s="68"/>
      <c r="F28" s="105">
        <f>SUMIF(歳入!I:I,精算表!A28,歳入!K:K)</f>
        <v>0</v>
      </c>
      <c r="G28" s="105">
        <f>SUMIF(歳入!J:J,精算表!A28,歳入!K:K)</f>
        <v>0</v>
      </c>
      <c r="H28" s="105">
        <f>SUMIF(歳出!H:H,精算表!A28,歳出!J:J)</f>
        <v>0</v>
      </c>
      <c r="I28" s="105">
        <f>SUMIF(歳出!I:I,精算表!A28,歳出!J:J)</f>
        <v>0</v>
      </c>
      <c r="J28" s="105">
        <f>SUMIF(決算整理!C:C,精算表!A28,決算整理!E:E)</f>
        <v>0</v>
      </c>
      <c r="K28" s="106">
        <f>SUMIF(決算整理!D:D,精算表!A28,決算整理!E:E)</f>
        <v>48072342</v>
      </c>
      <c r="L28" s="105"/>
      <c r="M28" s="105"/>
      <c r="N28" s="105"/>
      <c r="O28" s="105"/>
      <c r="P28" s="105">
        <f>SUMIF(相殺仕訳!J:J,精算表!A28,相殺仕訳!L:L)</f>
        <v>0</v>
      </c>
      <c r="Q28" s="107">
        <f>SUMIF(相殺仕訳!K:K,精算表!A28,相殺仕訳!L:L)</f>
        <v>0</v>
      </c>
      <c r="R28" s="108">
        <f t="shared" si="6"/>
        <v>-656874155</v>
      </c>
      <c r="S28" s="109"/>
    </row>
    <row r="29" spans="1:19" ht="15" customHeight="1" x14ac:dyDescent="0.4">
      <c r="A29" s="297" t="s">
        <v>211</v>
      </c>
      <c r="C29" s="101" t="s">
        <v>135</v>
      </c>
      <c r="D29" s="68">
        <f>開始BS!$B$29</f>
        <v>18018117778</v>
      </c>
      <c r="E29" s="68"/>
      <c r="F29" s="105">
        <f>SUMIF(歳入!I:I,精算表!A29,歳入!K:K)</f>
        <v>0</v>
      </c>
      <c r="G29" s="105">
        <f>SUMIF(歳入!J:J,精算表!A29,歳入!K:K)</f>
        <v>0</v>
      </c>
      <c r="H29" s="105">
        <f>SUMIF(歳出!H:H,精算表!A29,歳出!J:J)</f>
        <v>0</v>
      </c>
      <c r="I29" s="105">
        <f>SUMIF(歳出!I:I,精算表!A29,歳出!J:J)</f>
        <v>0</v>
      </c>
      <c r="J29" s="105">
        <f>SUMIF(決算整理!C:C,精算表!A29,決算整理!E:E)</f>
        <v>153767778</v>
      </c>
      <c r="K29" s="106">
        <f>SUMIF(決算整理!D:D,精算表!A29,決算整理!E:E)</f>
        <v>0</v>
      </c>
      <c r="L29" s="105"/>
      <c r="M29" s="105"/>
      <c r="N29" s="105"/>
      <c r="O29" s="105"/>
      <c r="P29" s="105">
        <f>SUMIF(相殺仕訳!J:J,精算表!A29,相殺仕訳!L:L)</f>
        <v>0</v>
      </c>
      <c r="Q29" s="107">
        <f>SUMIF(相殺仕訳!K:K,精算表!A29,相殺仕訳!L:L)</f>
        <v>0</v>
      </c>
      <c r="R29" s="108">
        <f t="shared" si="6"/>
        <v>18171885556</v>
      </c>
      <c r="S29" s="109"/>
    </row>
    <row r="30" spans="1:19" ht="15" customHeight="1" x14ac:dyDescent="0.4">
      <c r="A30" s="297" t="s">
        <v>431</v>
      </c>
      <c r="C30" s="101" t="s">
        <v>137</v>
      </c>
      <c r="D30" s="68">
        <f>開始BS!$B$30</f>
        <v>-13601545928</v>
      </c>
      <c r="E30" s="68"/>
      <c r="F30" s="105">
        <f>SUMIF(歳入!I:I,精算表!A30,歳入!K:K)</f>
        <v>0</v>
      </c>
      <c r="G30" s="105">
        <f>SUMIF(歳入!J:J,精算表!A30,歳入!K:K)</f>
        <v>0</v>
      </c>
      <c r="H30" s="105">
        <f>SUMIF(歳出!H:H,精算表!A30,歳出!J:J)</f>
        <v>0</v>
      </c>
      <c r="I30" s="105">
        <f>SUMIF(歳出!I:I,精算表!A30,歳出!J:J)</f>
        <v>0</v>
      </c>
      <c r="J30" s="105">
        <f>SUMIF(決算整理!C:C,精算表!A30,決算整理!E:E)</f>
        <v>0</v>
      </c>
      <c r="K30" s="106">
        <f>SUMIF(決算整理!D:D,精算表!A30,決算整理!E:E)</f>
        <v>184019488</v>
      </c>
      <c r="L30" s="105"/>
      <c r="M30" s="105"/>
      <c r="N30" s="105"/>
      <c r="O30" s="105"/>
      <c r="P30" s="105">
        <f>SUMIF(相殺仕訳!J:J,精算表!A30,相殺仕訳!L:L)</f>
        <v>0</v>
      </c>
      <c r="Q30" s="107">
        <f>SUMIF(相殺仕訳!K:K,精算表!A30,相殺仕訳!L:L)</f>
        <v>0</v>
      </c>
      <c r="R30" s="108">
        <f t="shared" si="6"/>
        <v>-13785565416</v>
      </c>
      <c r="S30" s="109"/>
    </row>
    <row r="31" spans="1:19" ht="15" customHeight="1" x14ac:dyDescent="0.4">
      <c r="A31" s="297" t="s">
        <v>213</v>
      </c>
      <c r="C31" s="101" t="s">
        <v>150</v>
      </c>
      <c r="D31" s="68">
        <f>開始BS!$B$31</f>
        <v>0</v>
      </c>
      <c r="E31" s="68"/>
      <c r="F31" s="105">
        <f>SUMIF(歳入!I:I,精算表!A31,歳入!K:K)</f>
        <v>0</v>
      </c>
      <c r="G31" s="105">
        <f>SUMIF(歳入!J:J,精算表!A31,歳入!K:K)</f>
        <v>0</v>
      </c>
      <c r="H31" s="105">
        <f>SUMIF(歳出!H:H,精算表!A31,歳出!J:J)</f>
        <v>0</v>
      </c>
      <c r="I31" s="105">
        <f>SUMIF(歳出!I:I,精算表!A31,歳出!J:J)</f>
        <v>0</v>
      </c>
      <c r="J31" s="105">
        <f>SUMIF(決算整理!C:C,精算表!A31,決算整理!E:E)</f>
        <v>0</v>
      </c>
      <c r="K31" s="106">
        <f>SUMIF(決算整理!D:D,精算表!A31,決算整理!E:E)</f>
        <v>0</v>
      </c>
      <c r="L31" s="105"/>
      <c r="M31" s="105"/>
      <c r="N31" s="105"/>
      <c r="O31" s="105"/>
      <c r="P31" s="105">
        <f>SUMIF(相殺仕訳!J:J,精算表!A31,相殺仕訳!L:L)</f>
        <v>0</v>
      </c>
      <c r="Q31" s="107">
        <f>SUMIF(相殺仕訳!K:K,精算表!A31,相殺仕訳!L:L)</f>
        <v>0</v>
      </c>
      <c r="R31" s="108">
        <f t="shared" si="6"/>
        <v>0</v>
      </c>
      <c r="S31" s="109"/>
    </row>
    <row r="32" spans="1:19" ht="15" customHeight="1" x14ac:dyDescent="0.4">
      <c r="A32" s="297" t="s">
        <v>432</v>
      </c>
      <c r="C32" s="101" t="s">
        <v>152</v>
      </c>
      <c r="D32" s="68">
        <f>開始BS!$B$32</f>
        <v>0</v>
      </c>
      <c r="E32" s="68"/>
      <c r="F32" s="105">
        <f>SUMIF(歳入!I:I,精算表!A32,歳入!K:K)</f>
        <v>0</v>
      </c>
      <c r="G32" s="105">
        <f>SUMIF(歳入!J:J,精算表!A32,歳入!K:K)</f>
        <v>0</v>
      </c>
      <c r="H32" s="105">
        <f>SUMIF(歳出!H:H,精算表!A32,歳出!J:J)</f>
        <v>0</v>
      </c>
      <c r="I32" s="105">
        <f>SUMIF(歳出!I:I,精算表!A32,歳出!J:J)</f>
        <v>0</v>
      </c>
      <c r="J32" s="105">
        <f>SUMIF(決算整理!C:C,精算表!A32,決算整理!E:E)</f>
        <v>0</v>
      </c>
      <c r="K32" s="106">
        <f>SUMIF(決算整理!D:D,精算表!A32,決算整理!E:E)</f>
        <v>0</v>
      </c>
      <c r="L32" s="105"/>
      <c r="M32" s="105"/>
      <c r="N32" s="105"/>
      <c r="O32" s="105"/>
      <c r="P32" s="105">
        <f>SUMIF(相殺仕訳!J:J,精算表!A32,相殺仕訳!L:L)</f>
        <v>0</v>
      </c>
      <c r="Q32" s="107">
        <f>SUMIF(相殺仕訳!K:K,精算表!A32,相殺仕訳!L:L)</f>
        <v>0</v>
      </c>
      <c r="R32" s="108">
        <f t="shared" si="6"/>
        <v>0</v>
      </c>
      <c r="S32" s="109"/>
    </row>
    <row r="33" spans="1:19" ht="15" customHeight="1" x14ac:dyDescent="0.4">
      <c r="A33" s="297" t="s">
        <v>433</v>
      </c>
      <c r="C33" s="101" t="s">
        <v>154</v>
      </c>
      <c r="D33" s="68">
        <f>開始BS!$B$33</f>
        <v>22162000</v>
      </c>
      <c r="E33" s="68"/>
      <c r="F33" s="105">
        <f>SUMIF(歳入!I:I,精算表!A33,歳入!K:K)</f>
        <v>0</v>
      </c>
      <c r="G33" s="105">
        <f>SUMIF(歳入!J:J,精算表!A33,歳入!K:K)</f>
        <v>0</v>
      </c>
      <c r="H33" s="105">
        <f>SUMIF(歳出!H:H,精算表!A33,歳出!J:J)</f>
        <v>0</v>
      </c>
      <c r="I33" s="105">
        <f>SUMIF(歳出!I:I,精算表!A33,歳出!J:J)</f>
        <v>0</v>
      </c>
      <c r="J33" s="105">
        <f>SUMIF(決算整理!C:C,精算表!A33,決算整理!E:E)</f>
        <v>0</v>
      </c>
      <c r="K33" s="106">
        <f>SUMIF(決算整理!D:D,精算表!A33,決算整理!E:E)</f>
        <v>0</v>
      </c>
      <c r="L33" s="105"/>
      <c r="M33" s="105"/>
      <c r="N33" s="105"/>
      <c r="O33" s="105"/>
      <c r="P33" s="105">
        <f>SUMIF(相殺仕訳!J:J,精算表!A33,相殺仕訳!L:L)</f>
        <v>0</v>
      </c>
      <c r="Q33" s="107">
        <f>SUMIF(相殺仕訳!K:K,精算表!A33,相殺仕訳!L:L)</f>
        <v>0</v>
      </c>
      <c r="R33" s="108">
        <f t="shared" si="6"/>
        <v>22162000</v>
      </c>
      <c r="S33" s="109"/>
    </row>
    <row r="34" spans="1:19" ht="15" customHeight="1" x14ac:dyDescent="0.4">
      <c r="A34" s="297" t="s">
        <v>23</v>
      </c>
      <c r="C34" s="101" t="s">
        <v>158</v>
      </c>
      <c r="D34" s="68">
        <f>開始BS!$B$34</f>
        <v>720754896</v>
      </c>
      <c r="E34" s="68"/>
      <c r="F34" s="105">
        <f>SUMIF(歳入!I:I,精算表!A34,歳入!K:K)</f>
        <v>0</v>
      </c>
      <c r="G34" s="105">
        <f>SUMIF(歳入!J:J,精算表!A34,歳入!K:K)</f>
        <v>0</v>
      </c>
      <c r="H34" s="105">
        <f>SUMIF(歳出!H:H,精算表!A34,歳出!J:J)</f>
        <v>0</v>
      </c>
      <c r="I34" s="105">
        <f>SUMIF(歳出!I:I,精算表!A34,歳出!J:J)</f>
        <v>0</v>
      </c>
      <c r="J34" s="105">
        <f>SUMIF(決算整理!C:C,精算表!A34,決算整理!E:E)</f>
        <v>1113827</v>
      </c>
      <c r="K34" s="106">
        <f>SUMIF(決算整理!D:D,精算表!A34,決算整理!E:E)</f>
        <v>1382425</v>
      </c>
      <c r="L34" s="105"/>
      <c r="M34" s="105"/>
      <c r="N34" s="105"/>
      <c r="O34" s="105"/>
      <c r="P34" s="105">
        <f>SUMIF(相殺仕訳!J:J,精算表!A34,相殺仕訳!L:L)</f>
        <v>0</v>
      </c>
      <c r="Q34" s="107">
        <f>SUMIF(相殺仕訳!K:K,精算表!A34,相殺仕訳!L:L)</f>
        <v>0</v>
      </c>
      <c r="R34" s="108">
        <f t="shared" si="6"/>
        <v>720486298</v>
      </c>
      <c r="S34" s="109"/>
    </row>
    <row r="35" spans="1:19" ht="15" customHeight="1" x14ac:dyDescent="0.4">
      <c r="A35" s="297" t="s">
        <v>24</v>
      </c>
      <c r="C35" s="101" t="s">
        <v>159</v>
      </c>
      <c r="D35" s="68">
        <f>開始BS!$B$35</f>
        <v>-632966605</v>
      </c>
      <c r="E35" s="68"/>
      <c r="F35" s="105">
        <f>SUMIF(歳入!I:I,精算表!A35,歳入!K:K)</f>
        <v>0</v>
      </c>
      <c r="G35" s="105">
        <f>SUMIF(歳入!J:J,精算表!A35,歳入!K:K)</f>
        <v>0</v>
      </c>
      <c r="H35" s="105">
        <f>SUMIF(歳出!H:H,精算表!A35,歳出!J:J)</f>
        <v>0</v>
      </c>
      <c r="I35" s="105">
        <f>SUMIF(歳出!I:I,精算表!A35,歳出!J:J)</f>
        <v>0</v>
      </c>
      <c r="J35" s="105">
        <f>SUMIF(決算整理!C:C,精算表!A35,決算整理!E:E)</f>
        <v>1382425</v>
      </c>
      <c r="K35" s="106">
        <f>SUMIF(決算整理!D:D,精算表!A35,決算整理!E:E)</f>
        <v>14943792</v>
      </c>
      <c r="L35" s="105"/>
      <c r="M35" s="105"/>
      <c r="N35" s="105"/>
      <c r="O35" s="105"/>
      <c r="P35" s="105">
        <f>SUMIF(相殺仕訳!J:J,精算表!A35,相殺仕訳!L:L)</f>
        <v>0</v>
      </c>
      <c r="Q35" s="107">
        <f>SUMIF(相殺仕訳!K:K,精算表!A35,相殺仕訳!L:L)</f>
        <v>0</v>
      </c>
      <c r="R35" s="108">
        <f t="shared" si="6"/>
        <v>-646527972</v>
      </c>
      <c r="S35" s="109"/>
    </row>
    <row r="36" spans="1:19" ht="15" customHeight="1" x14ac:dyDescent="0.4">
      <c r="A36" s="297"/>
      <c r="C36" s="101" t="s">
        <v>160</v>
      </c>
      <c r="D36" s="68">
        <f>SUM(D37:D38)</f>
        <v>36660776</v>
      </c>
      <c r="E36" s="68"/>
      <c r="F36" s="68">
        <f t="shared" ref="F36:S36" si="7">SUM(F37:F38)</f>
        <v>0</v>
      </c>
      <c r="G36" s="68">
        <f t="shared" si="7"/>
        <v>0</v>
      </c>
      <c r="H36" s="68">
        <f t="shared" si="7"/>
        <v>0</v>
      </c>
      <c r="I36" s="68">
        <f t="shared" si="7"/>
        <v>0</v>
      </c>
      <c r="J36" s="68">
        <f t="shared" si="7"/>
        <v>1980000</v>
      </c>
      <c r="K36" s="102">
        <f t="shared" si="7"/>
        <v>13218866</v>
      </c>
      <c r="L36" s="102">
        <f t="shared" si="7"/>
        <v>0</v>
      </c>
      <c r="M36" s="102">
        <f t="shared" si="7"/>
        <v>0</v>
      </c>
      <c r="N36" s="102">
        <f>SUM(N37:N38)</f>
        <v>0</v>
      </c>
      <c r="O36" s="102">
        <f>SUM(O37:O38)</f>
        <v>0</v>
      </c>
      <c r="P36" s="102">
        <f t="shared" si="7"/>
        <v>0</v>
      </c>
      <c r="Q36" s="102">
        <f t="shared" si="7"/>
        <v>0</v>
      </c>
      <c r="R36" s="103">
        <f t="shared" si="7"/>
        <v>25421910</v>
      </c>
      <c r="S36" s="104">
        <f t="shared" si="7"/>
        <v>0</v>
      </c>
    </row>
    <row r="37" spans="1:19" ht="15" customHeight="1" x14ac:dyDescent="0.4">
      <c r="A37" s="297" t="s">
        <v>25</v>
      </c>
      <c r="C37" s="101" t="s">
        <v>161</v>
      </c>
      <c r="D37" s="68">
        <f>開始BS!$B$37</f>
        <v>36660776</v>
      </c>
      <c r="E37" s="68"/>
      <c r="F37" s="105">
        <f>SUMIF(歳入!I:I,精算表!A37,歳入!K:K)</f>
        <v>0</v>
      </c>
      <c r="G37" s="105">
        <f>SUMIF(歳入!J:J,精算表!A37,歳入!K:K)</f>
        <v>0</v>
      </c>
      <c r="H37" s="105">
        <f>SUMIF(歳出!H:H,精算表!A37,歳出!J:J)</f>
        <v>0</v>
      </c>
      <c r="I37" s="105">
        <f>SUMIF(歳出!I:I,精算表!A37,歳出!J:J)</f>
        <v>0</v>
      </c>
      <c r="J37" s="105">
        <f>SUMIF(決算整理!C:C,精算表!A37,決算整理!E:E)</f>
        <v>1980000</v>
      </c>
      <c r="K37" s="106">
        <f>SUMIF(決算整理!D:D,精算表!A37,決算整理!E:E)</f>
        <v>13218866</v>
      </c>
      <c r="L37" s="105"/>
      <c r="M37" s="105"/>
      <c r="N37" s="105"/>
      <c r="O37" s="105"/>
      <c r="P37" s="105">
        <f>SUMIF(相殺仕訳!J:J,精算表!A37,相殺仕訳!L:L)</f>
        <v>0</v>
      </c>
      <c r="Q37" s="107">
        <f>SUMIF(相殺仕訳!K:K,精算表!A37,相殺仕訳!L:L)</f>
        <v>0</v>
      </c>
      <c r="R37" s="108">
        <f>D37+F37-G37+H37-I37+J37-K37+L37-M37+N37-O37+P37-Q37</f>
        <v>25421910</v>
      </c>
      <c r="S37" s="109"/>
    </row>
    <row r="38" spans="1:19" ht="15" customHeight="1" x14ac:dyDescent="0.4">
      <c r="A38" s="297" t="s">
        <v>26</v>
      </c>
      <c r="C38" s="101" t="s">
        <v>162</v>
      </c>
      <c r="D38" s="68">
        <f>開始BS!$B$38</f>
        <v>0</v>
      </c>
      <c r="E38" s="68"/>
      <c r="F38" s="105">
        <f>SUMIF(歳入!I:I,精算表!A38,歳入!K:K)</f>
        <v>0</v>
      </c>
      <c r="G38" s="105">
        <f>SUMIF(歳入!J:J,精算表!A38,歳入!K:K)</f>
        <v>0</v>
      </c>
      <c r="H38" s="105">
        <f>SUMIF(歳出!H:H,精算表!A38,歳出!J:J)</f>
        <v>0</v>
      </c>
      <c r="I38" s="105">
        <f>SUMIF(歳出!I:I,精算表!A38,歳出!J:J)</f>
        <v>0</v>
      </c>
      <c r="J38" s="105">
        <f>SUMIF(決算整理!C:C,精算表!A38,決算整理!E:E)</f>
        <v>0</v>
      </c>
      <c r="K38" s="106">
        <f>SUMIF(決算整理!D:D,精算表!A38,決算整理!E:E)</f>
        <v>0</v>
      </c>
      <c r="L38" s="105"/>
      <c r="M38" s="105"/>
      <c r="N38" s="105"/>
      <c r="O38" s="105"/>
      <c r="P38" s="105">
        <f>SUMIF(相殺仕訳!J:J,精算表!A38,相殺仕訳!L:L)</f>
        <v>0</v>
      </c>
      <c r="Q38" s="107">
        <f>SUMIF(相殺仕訳!K:K,精算表!A38,相殺仕訳!L:L)</f>
        <v>0</v>
      </c>
      <c r="R38" s="108">
        <f>D38+F38-G38+H38-I38+J38-K38+L38-M38+N38-O38+P38-Q38</f>
        <v>0</v>
      </c>
      <c r="S38" s="109"/>
    </row>
    <row r="39" spans="1:19" ht="15" customHeight="1" x14ac:dyDescent="0.4">
      <c r="A39" s="298" t="s">
        <v>27</v>
      </c>
      <c r="C39" s="176" t="s">
        <v>529</v>
      </c>
      <c r="D39" s="68"/>
      <c r="E39" s="68"/>
      <c r="F39" s="105">
        <f>SUMIF(歳入!I:I,精算表!A39,歳入!K:K)</f>
        <v>0</v>
      </c>
      <c r="G39" s="105">
        <f>SUMIF(歳入!J:J,精算表!A39,歳入!K:K)</f>
        <v>0</v>
      </c>
      <c r="H39" s="105">
        <f>SUMIF(歳出!H:H,精算表!A39,歳出!J:J)</f>
        <v>283676346</v>
      </c>
      <c r="I39" s="105">
        <f>SUMIF(歳出!I:I,精算表!A39,歳出!J:J)</f>
        <v>0</v>
      </c>
      <c r="J39" s="105">
        <f>SUMIF(決算整理!C:C,精算表!A39,決算整理!E:E)</f>
        <v>0</v>
      </c>
      <c r="K39" s="106">
        <f>SUMIF(決算整理!D:D,精算表!A39,決算整理!E:E)</f>
        <v>283676346</v>
      </c>
      <c r="L39" s="105"/>
      <c r="M39" s="105"/>
      <c r="N39" s="105"/>
      <c r="O39" s="105"/>
      <c r="P39" s="105">
        <f>SUMIF(相殺仕訳!J:J,精算表!A39,相殺仕訳!L:L)</f>
        <v>0</v>
      </c>
      <c r="Q39" s="107">
        <f>SUMIF(相殺仕訳!K:K,精算表!A39,相殺仕訳!L:L)</f>
        <v>0</v>
      </c>
      <c r="R39" s="108">
        <f>D39+F39-G39+H39-I39+J39-K39+L39-M39+N39-O39+P39-Q39</f>
        <v>0</v>
      </c>
      <c r="S39" s="109"/>
    </row>
    <row r="40" spans="1:19" ht="15" customHeight="1" x14ac:dyDescent="0.4">
      <c r="A40" s="297"/>
      <c r="C40" s="101" t="s">
        <v>163</v>
      </c>
      <c r="D40" s="68">
        <f>D41+SUM(D45:D48)+SUM(D51:D52)</f>
        <v>1745229494</v>
      </c>
      <c r="E40" s="68"/>
      <c r="F40" s="68">
        <f t="shared" ref="F40:S40" si="8">F41+SUM(F45:F48)+SUM(F51:F52)</f>
        <v>0</v>
      </c>
      <c r="G40" s="68">
        <f t="shared" si="8"/>
        <v>131390916</v>
      </c>
      <c r="H40" s="68">
        <f t="shared" si="8"/>
        <v>176103663</v>
      </c>
      <c r="I40" s="68">
        <f t="shared" si="8"/>
        <v>0</v>
      </c>
      <c r="J40" s="68">
        <f t="shared" si="8"/>
        <v>32329654</v>
      </c>
      <c r="K40" s="102">
        <f t="shared" si="8"/>
        <v>37416689</v>
      </c>
      <c r="L40" s="102">
        <f t="shared" si="8"/>
        <v>0</v>
      </c>
      <c r="M40" s="102">
        <f t="shared" si="8"/>
        <v>0</v>
      </c>
      <c r="N40" s="102">
        <f>N41+SUM(N45:N48)+SUM(N51:N52)</f>
        <v>0</v>
      </c>
      <c r="O40" s="102">
        <f>O41+SUM(O45:O48)+SUM(O51:O52)</f>
        <v>0</v>
      </c>
      <c r="P40" s="102">
        <f t="shared" si="8"/>
        <v>0</v>
      </c>
      <c r="Q40" s="102">
        <f t="shared" si="8"/>
        <v>0</v>
      </c>
      <c r="R40" s="103">
        <f t="shared" si="8"/>
        <v>1784855206</v>
      </c>
      <c r="S40" s="104">
        <f t="shared" si="8"/>
        <v>0</v>
      </c>
    </row>
    <row r="41" spans="1:19" ht="15" customHeight="1" x14ac:dyDescent="0.4">
      <c r="A41" s="297"/>
      <c r="C41" s="101" t="s">
        <v>164</v>
      </c>
      <c r="D41" s="68">
        <f>SUM(D42:D44)</f>
        <v>648684000</v>
      </c>
      <c r="E41" s="68"/>
      <c r="F41" s="68">
        <f t="shared" ref="F41:S41" si="9">SUM(F42:F44)</f>
        <v>0</v>
      </c>
      <c r="G41" s="68">
        <f t="shared" si="9"/>
        <v>0</v>
      </c>
      <c r="H41" s="68">
        <f t="shared" si="9"/>
        <v>0</v>
      </c>
      <c r="I41" s="68">
        <f t="shared" si="9"/>
        <v>0</v>
      </c>
      <c r="J41" s="68">
        <f t="shared" si="9"/>
        <v>0</v>
      </c>
      <c r="K41" s="102">
        <f t="shared" si="9"/>
        <v>0</v>
      </c>
      <c r="L41" s="102">
        <f t="shared" si="9"/>
        <v>0</v>
      </c>
      <c r="M41" s="102">
        <f t="shared" si="9"/>
        <v>0</v>
      </c>
      <c r="N41" s="102">
        <f>SUM(N42:N44)</f>
        <v>0</v>
      </c>
      <c r="O41" s="102">
        <f>SUM(O42:O44)</f>
        <v>0</v>
      </c>
      <c r="P41" s="102">
        <f t="shared" si="9"/>
        <v>0</v>
      </c>
      <c r="Q41" s="102">
        <f t="shared" si="9"/>
        <v>0</v>
      </c>
      <c r="R41" s="103">
        <f t="shared" si="9"/>
        <v>648684000</v>
      </c>
      <c r="S41" s="104">
        <f t="shared" si="9"/>
        <v>0</v>
      </c>
    </row>
    <row r="42" spans="1:19" ht="15" customHeight="1" x14ac:dyDescent="0.4">
      <c r="A42" s="297" t="s">
        <v>28</v>
      </c>
      <c r="C42" s="101" t="s">
        <v>165</v>
      </c>
      <c r="D42" s="68">
        <f>開始BS!$B$41</f>
        <v>200000</v>
      </c>
      <c r="E42" s="68"/>
      <c r="F42" s="105">
        <f>SUMIF(歳入!I:I,精算表!A42,歳入!K:K)</f>
        <v>0</v>
      </c>
      <c r="G42" s="105">
        <f>SUMIF(歳入!J:J,精算表!A42,歳入!K:K)</f>
        <v>0</v>
      </c>
      <c r="H42" s="105">
        <f>SUMIF(歳出!H:H,精算表!A42,歳出!J:J)</f>
        <v>0</v>
      </c>
      <c r="I42" s="105">
        <f>SUMIF(歳出!I:I,精算表!A42,歳出!J:J)</f>
        <v>0</v>
      </c>
      <c r="J42" s="105">
        <f>SUMIF(決算整理!C:C,精算表!A42,決算整理!E:E)</f>
        <v>0</v>
      </c>
      <c r="K42" s="106">
        <f>SUMIF(決算整理!D:D,精算表!A42,決算整理!E:E)</f>
        <v>0</v>
      </c>
      <c r="L42" s="105"/>
      <c r="M42" s="105"/>
      <c r="N42" s="105"/>
      <c r="O42" s="105"/>
      <c r="P42" s="105">
        <f>SUMIF(相殺仕訳!J:J,精算表!A42,相殺仕訳!L:L)</f>
        <v>0</v>
      </c>
      <c r="Q42" s="107">
        <f>SUMIF(相殺仕訳!K:K,精算表!A42,相殺仕訳!L:L)</f>
        <v>0</v>
      </c>
      <c r="R42" s="108">
        <f t="shared" ref="R42:R47" si="10">D42+F42-G42+H42-I42+J42-K42+L42-M42+N42-O42+P42-Q42</f>
        <v>200000</v>
      </c>
      <c r="S42" s="109"/>
    </row>
    <row r="43" spans="1:19" ht="15" customHeight="1" x14ac:dyDescent="0.4">
      <c r="A43" s="297" t="s">
        <v>29</v>
      </c>
      <c r="C43" s="101" t="s">
        <v>166</v>
      </c>
      <c r="D43" s="68">
        <f>開始BS!$B$42</f>
        <v>648484000</v>
      </c>
      <c r="E43" s="68"/>
      <c r="F43" s="105">
        <f>SUMIF(歳入!I:I,精算表!A43,歳入!K:K)</f>
        <v>0</v>
      </c>
      <c r="G43" s="105">
        <f>SUMIF(歳入!J:J,精算表!A43,歳入!K:K)</f>
        <v>0</v>
      </c>
      <c r="H43" s="105">
        <f>SUMIF(歳出!H:H,精算表!A43,歳出!J:J)</f>
        <v>0</v>
      </c>
      <c r="I43" s="105">
        <f>SUMIF(歳出!I:I,精算表!A43,歳出!J:J)</f>
        <v>0</v>
      </c>
      <c r="J43" s="105">
        <f>SUMIF(決算整理!C:C,精算表!A43,決算整理!E:E)</f>
        <v>0</v>
      </c>
      <c r="K43" s="106">
        <f>SUMIF(決算整理!D:D,精算表!A43,決算整理!E:E)</f>
        <v>0</v>
      </c>
      <c r="L43" s="105"/>
      <c r="M43" s="105"/>
      <c r="N43" s="105"/>
      <c r="O43" s="105"/>
      <c r="P43" s="105">
        <f>SUMIF(相殺仕訳!J:J,精算表!A43,相殺仕訳!L:L)</f>
        <v>0</v>
      </c>
      <c r="Q43" s="107">
        <f>SUMIF(相殺仕訳!K:K,精算表!A43,相殺仕訳!L:L)</f>
        <v>0</v>
      </c>
      <c r="R43" s="108">
        <f t="shared" si="10"/>
        <v>648484000</v>
      </c>
      <c r="S43" s="109"/>
    </row>
    <row r="44" spans="1:19" ht="15" customHeight="1" x14ac:dyDescent="0.4">
      <c r="A44" s="297" t="s">
        <v>30</v>
      </c>
      <c r="C44" s="101" t="s">
        <v>150</v>
      </c>
      <c r="D44" s="68">
        <f>開始BS!$B$43</f>
        <v>0</v>
      </c>
      <c r="E44" s="68"/>
      <c r="F44" s="105">
        <f>SUMIF(歳入!I:I,精算表!A44,歳入!K:K)</f>
        <v>0</v>
      </c>
      <c r="G44" s="105">
        <f>SUMIF(歳入!J:J,精算表!A44,歳入!K:K)</f>
        <v>0</v>
      </c>
      <c r="H44" s="105">
        <f>SUMIF(歳出!H:H,精算表!A44,歳出!J:J)</f>
        <v>0</v>
      </c>
      <c r="I44" s="105">
        <f>SUMIF(歳出!I:I,精算表!A44,歳出!J:J)</f>
        <v>0</v>
      </c>
      <c r="J44" s="105">
        <f>SUMIF(決算整理!C:C,精算表!A44,決算整理!E:E)</f>
        <v>0</v>
      </c>
      <c r="K44" s="106">
        <f>SUMIF(決算整理!D:D,精算表!A44,決算整理!E:E)</f>
        <v>0</v>
      </c>
      <c r="L44" s="105"/>
      <c r="M44" s="105"/>
      <c r="N44" s="105"/>
      <c r="O44" s="105"/>
      <c r="P44" s="105">
        <f>SUMIF(相殺仕訳!J:J,精算表!A44,相殺仕訳!L:L)</f>
        <v>0</v>
      </c>
      <c r="Q44" s="107">
        <f>SUMIF(相殺仕訳!K:K,精算表!A44,相殺仕訳!L:L)</f>
        <v>0</v>
      </c>
      <c r="R44" s="108">
        <f t="shared" si="10"/>
        <v>0</v>
      </c>
      <c r="S44" s="109"/>
    </row>
    <row r="45" spans="1:19" ht="15" customHeight="1" x14ac:dyDescent="0.4">
      <c r="A45" s="297" t="s">
        <v>31</v>
      </c>
      <c r="C45" s="101" t="s">
        <v>167</v>
      </c>
      <c r="D45" s="68">
        <f>開始BS!$B$44</f>
        <v>0</v>
      </c>
      <c r="E45" s="68"/>
      <c r="F45" s="105">
        <f>SUMIF(歳入!I:I,精算表!A45,歳入!K:K)</f>
        <v>0</v>
      </c>
      <c r="G45" s="105">
        <f>SUMIF(歳入!J:J,精算表!A45,歳入!K:K)</f>
        <v>0</v>
      </c>
      <c r="H45" s="105">
        <f>SUMIF(歳出!H:H,精算表!A45,歳出!J:J)</f>
        <v>0</v>
      </c>
      <c r="I45" s="105">
        <f>SUMIF(歳出!I:I,精算表!A45,歳出!J:J)</f>
        <v>0</v>
      </c>
      <c r="J45" s="105">
        <f>SUMIF(決算整理!C:C,精算表!A45,決算整理!E:E)</f>
        <v>0</v>
      </c>
      <c r="K45" s="106">
        <f>SUMIF(決算整理!D:D,精算表!A45,決算整理!E:E)</f>
        <v>0</v>
      </c>
      <c r="L45" s="105"/>
      <c r="M45" s="105"/>
      <c r="N45" s="105"/>
      <c r="O45" s="105"/>
      <c r="P45" s="105">
        <f>SUMIF(相殺仕訳!J:J,精算表!A45,相殺仕訳!L:L)</f>
        <v>0</v>
      </c>
      <c r="Q45" s="107">
        <f>SUMIF(相殺仕訳!K:K,精算表!A45,相殺仕訳!L:L)</f>
        <v>0</v>
      </c>
      <c r="R45" s="108">
        <f t="shared" si="10"/>
        <v>0</v>
      </c>
      <c r="S45" s="109"/>
    </row>
    <row r="46" spans="1:19" ht="15" customHeight="1" x14ac:dyDescent="0.4">
      <c r="A46" s="297" t="s">
        <v>32</v>
      </c>
      <c r="C46" s="101" t="s">
        <v>168</v>
      </c>
      <c r="D46" s="68">
        <f>開始BS!$B$45</f>
        <v>60772982</v>
      </c>
      <c r="E46" s="68"/>
      <c r="F46" s="105">
        <f>SUMIF(歳入!I:I,精算表!A46,歳入!K:K)</f>
        <v>0</v>
      </c>
      <c r="G46" s="105">
        <f>SUMIF(歳入!J:J,精算表!A46,歳入!K:K)</f>
        <v>0</v>
      </c>
      <c r="H46" s="105">
        <f>SUMIF(歳出!H:H,精算表!A46,歳出!J:J)</f>
        <v>0</v>
      </c>
      <c r="I46" s="105">
        <f>SUMIF(歳出!I:I,精算表!A46,歳出!J:J)</f>
        <v>0</v>
      </c>
      <c r="J46" s="105">
        <f>SUMIF(決算整理!C:C,精算表!A46,決算整理!E:E)</f>
        <v>27548914</v>
      </c>
      <c r="K46" s="106">
        <f>SUMIF(決算整理!D:D,精算表!A46,決算整理!E:E)</f>
        <v>32587778</v>
      </c>
      <c r="L46" s="105"/>
      <c r="M46" s="105"/>
      <c r="N46" s="105"/>
      <c r="O46" s="105"/>
      <c r="P46" s="105">
        <f>SUMIF(相殺仕訳!J:J,精算表!A46,相殺仕訳!L:L)</f>
        <v>0</v>
      </c>
      <c r="Q46" s="107">
        <f>SUMIF(相殺仕訳!K:K,精算表!A46,相殺仕訳!L:L)</f>
        <v>0</v>
      </c>
      <c r="R46" s="108">
        <f t="shared" si="10"/>
        <v>55734118</v>
      </c>
      <c r="S46" s="109"/>
    </row>
    <row r="47" spans="1:19" ht="15" customHeight="1" x14ac:dyDescent="0.4">
      <c r="A47" s="297" t="s">
        <v>33</v>
      </c>
      <c r="C47" s="101" t="s">
        <v>169</v>
      </c>
      <c r="D47" s="68">
        <f>開始BS!$B$46</f>
        <v>0</v>
      </c>
      <c r="E47" s="68"/>
      <c r="F47" s="105">
        <f>SUMIF(歳入!I:I,精算表!A47,歳入!K:K)</f>
        <v>0</v>
      </c>
      <c r="G47" s="105">
        <f>SUMIF(歳入!J:J,精算表!A47,歳入!K:K)</f>
        <v>0</v>
      </c>
      <c r="H47" s="105">
        <f>SUMIF(歳出!H:H,精算表!A47,歳出!J:J)</f>
        <v>0</v>
      </c>
      <c r="I47" s="105">
        <f>SUMIF(歳出!I:I,精算表!A47,歳出!J:J)</f>
        <v>0</v>
      </c>
      <c r="J47" s="105">
        <f>SUMIF(決算整理!C:C,精算表!A47,決算整理!E:E)</f>
        <v>0</v>
      </c>
      <c r="K47" s="106">
        <f>SUMIF(決算整理!D:D,精算表!A47,決算整理!E:E)</f>
        <v>0</v>
      </c>
      <c r="L47" s="105"/>
      <c r="M47" s="105"/>
      <c r="N47" s="105"/>
      <c r="O47" s="105"/>
      <c r="P47" s="105">
        <f>SUMIF(相殺仕訳!J:J,精算表!A47,相殺仕訳!L:L)</f>
        <v>0</v>
      </c>
      <c r="Q47" s="107">
        <f>SUMIF(相殺仕訳!K:K,精算表!A47,相殺仕訳!L:L)</f>
        <v>0</v>
      </c>
      <c r="R47" s="108">
        <f t="shared" si="10"/>
        <v>0</v>
      </c>
      <c r="S47" s="109"/>
    </row>
    <row r="48" spans="1:19" ht="15" customHeight="1" x14ac:dyDescent="0.4">
      <c r="A48" s="297"/>
      <c r="C48" s="101" t="s">
        <v>170</v>
      </c>
      <c r="D48" s="68">
        <f>SUM(D49:D50)</f>
        <v>1040553252</v>
      </c>
      <c r="E48" s="68"/>
      <c r="F48" s="68">
        <f t="shared" ref="F48:S48" si="11">SUM(F49:F50)</f>
        <v>0</v>
      </c>
      <c r="G48" s="68">
        <f t="shared" si="11"/>
        <v>131390916</v>
      </c>
      <c r="H48" s="68">
        <f t="shared" si="11"/>
        <v>176103663</v>
      </c>
      <c r="I48" s="68">
        <f t="shared" si="11"/>
        <v>0</v>
      </c>
      <c r="J48" s="68">
        <f t="shared" si="11"/>
        <v>0</v>
      </c>
      <c r="K48" s="102">
        <f t="shared" si="11"/>
        <v>0</v>
      </c>
      <c r="L48" s="102">
        <f t="shared" si="11"/>
        <v>0</v>
      </c>
      <c r="M48" s="102">
        <f t="shared" si="11"/>
        <v>0</v>
      </c>
      <c r="N48" s="102">
        <f>SUM(N49:N50)</f>
        <v>0</v>
      </c>
      <c r="O48" s="102">
        <f>SUM(O49:O50)</f>
        <v>0</v>
      </c>
      <c r="P48" s="102">
        <f t="shared" si="11"/>
        <v>0</v>
      </c>
      <c r="Q48" s="102">
        <f t="shared" si="11"/>
        <v>0</v>
      </c>
      <c r="R48" s="103">
        <f t="shared" si="11"/>
        <v>1085265999</v>
      </c>
      <c r="S48" s="104">
        <f t="shared" si="11"/>
        <v>0</v>
      </c>
    </row>
    <row r="49" spans="1:19" ht="15" customHeight="1" x14ac:dyDescent="0.4">
      <c r="A49" s="297" t="s">
        <v>34</v>
      </c>
      <c r="C49" s="101" t="s">
        <v>171</v>
      </c>
      <c r="D49" s="68">
        <f>開始BS!$B$48</f>
        <v>0</v>
      </c>
      <c r="E49" s="68"/>
      <c r="F49" s="105">
        <f>SUMIF(歳入!I:I,精算表!A49,歳入!K:K)</f>
        <v>0</v>
      </c>
      <c r="G49" s="105">
        <f>SUMIF(歳入!J:J,精算表!A49,歳入!K:K)</f>
        <v>0</v>
      </c>
      <c r="H49" s="105">
        <f>SUMIF(歳出!H:H,精算表!A49,歳出!J:J)</f>
        <v>0</v>
      </c>
      <c r="I49" s="105">
        <f>SUMIF(歳出!I:I,精算表!A49,歳出!J:J)</f>
        <v>0</v>
      </c>
      <c r="J49" s="105">
        <f>SUMIF(決算整理!C:C,精算表!A49,決算整理!E:E)</f>
        <v>0</v>
      </c>
      <c r="K49" s="106">
        <f>SUMIF(決算整理!D:D,精算表!A49,決算整理!E:E)</f>
        <v>0</v>
      </c>
      <c r="L49" s="105"/>
      <c r="M49" s="105"/>
      <c r="N49" s="105"/>
      <c r="O49" s="105"/>
      <c r="P49" s="105">
        <f>SUMIF(相殺仕訳!J:J,精算表!A49,相殺仕訳!L:L)</f>
        <v>0</v>
      </c>
      <c r="Q49" s="107">
        <f>SUMIF(相殺仕訳!K:K,精算表!A49,相殺仕訳!L:L)</f>
        <v>0</v>
      </c>
      <c r="R49" s="108">
        <f>D49+F49-G49+H49-I49+J49-K49+L49-M49+N49-O49+P49-Q49</f>
        <v>0</v>
      </c>
      <c r="S49" s="109"/>
    </row>
    <row r="50" spans="1:19" ht="15" customHeight="1" x14ac:dyDescent="0.4">
      <c r="A50" s="297" t="s">
        <v>35</v>
      </c>
      <c r="C50" s="101" t="s">
        <v>150</v>
      </c>
      <c r="D50" s="68">
        <f>開始BS!$B$49</f>
        <v>1040553252</v>
      </c>
      <c r="E50" s="68"/>
      <c r="F50" s="105">
        <f>SUMIF(歳入!I:I,精算表!A50,歳入!K:K)</f>
        <v>0</v>
      </c>
      <c r="G50" s="105">
        <f>SUMIF(歳入!J:J,精算表!A50,歳入!K:K)</f>
        <v>131390916</v>
      </c>
      <c r="H50" s="105">
        <f>SUMIF(歳出!H:H,精算表!A50,歳出!J:J)</f>
        <v>176103663</v>
      </c>
      <c r="I50" s="105">
        <f>SUMIF(歳出!I:I,精算表!A50,歳出!J:J)</f>
        <v>0</v>
      </c>
      <c r="J50" s="105">
        <f>SUMIF(決算整理!C:C,精算表!A50,決算整理!E:E)</f>
        <v>0</v>
      </c>
      <c r="K50" s="106">
        <f>SUMIF(決算整理!D:D,精算表!A50,決算整理!E:E)</f>
        <v>0</v>
      </c>
      <c r="L50" s="105"/>
      <c r="M50" s="105"/>
      <c r="N50" s="105"/>
      <c r="O50" s="105"/>
      <c r="P50" s="105">
        <f>SUMIF(相殺仕訳!J:J,精算表!A50,相殺仕訳!L:L)</f>
        <v>0</v>
      </c>
      <c r="Q50" s="107">
        <f>SUMIF(相殺仕訳!K:K,精算表!A50,相殺仕訳!L:L)</f>
        <v>0</v>
      </c>
      <c r="R50" s="108">
        <f>D50+F50-G50+H50-I50+J50-K50+L50-M50+N50-O50+P50-Q50</f>
        <v>1085265999</v>
      </c>
      <c r="S50" s="109"/>
    </row>
    <row r="51" spans="1:19" ht="15" customHeight="1" x14ac:dyDescent="0.4">
      <c r="A51" s="297"/>
      <c r="C51" s="101" t="s">
        <v>162</v>
      </c>
      <c r="D51" s="68">
        <f>開始BS!$B$50</f>
        <v>0</v>
      </c>
      <c r="E51" s="68"/>
      <c r="F51" s="105">
        <f>SUMIF(歳入!I:I,精算表!A51,歳入!K:K)</f>
        <v>0</v>
      </c>
      <c r="G51" s="105">
        <f>SUMIF(歳入!J:J,精算表!A51,歳入!K:K)</f>
        <v>0</v>
      </c>
      <c r="H51" s="105">
        <f>SUMIF(歳出!H:H,精算表!A51,歳出!J:J)</f>
        <v>0</v>
      </c>
      <c r="I51" s="105">
        <f>SUMIF(歳出!I:I,精算表!A51,歳出!J:J)</f>
        <v>0</v>
      </c>
      <c r="J51" s="105">
        <f>SUMIF(決算整理!C:C,精算表!A51,決算整理!E:E)</f>
        <v>0</v>
      </c>
      <c r="K51" s="106">
        <f>SUMIF(決算整理!D:D,精算表!A51,決算整理!E:E)</f>
        <v>0</v>
      </c>
      <c r="L51" s="105"/>
      <c r="M51" s="105"/>
      <c r="N51" s="105"/>
      <c r="O51" s="105"/>
      <c r="P51" s="105">
        <f>SUMIF(相殺仕訳!J:J,精算表!A51,相殺仕訳!L:L)</f>
        <v>0</v>
      </c>
      <c r="Q51" s="107">
        <f>SUMIF(相殺仕訳!K:K,精算表!A51,相殺仕訳!L:L)</f>
        <v>0</v>
      </c>
      <c r="R51" s="108">
        <f>D51+F51-G51+H51-I51+J51-K51+L51-M51+N51-O51+P51-Q51</f>
        <v>0</v>
      </c>
      <c r="S51" s="109"/>
    </row>
    <row r="52" spans="1:19" ht="15" customHeight="1" x14ac:dyDescent="0.4">
      <c r="A52" s="297" t="s">
        <v>36</v>
      </c>
      <c r="C52" s="101" t="s">
        <v>172</v>
      </c>
      <c r="D52" s="68">
        <f>開始BS!$B$51</f>
        <v>-4780740</v>
      </c>
      <c r="E52" s="68"/>
      <c r="F52" s="105">
        <f>SUMIF(歳入!I:I,精算表!A52,歳入!K:K)</f>
        <v>0</v>
      </c>
      <c r="G52" s="105">
        <f>SUMIF(歳入!J:J,精算表!A52,歳入!K:K)</f>
        <v>0</v>
      </c>
      <c r="H52" s="105">
        <f>SUMIF(歳出!H:H,精算表!A52,歳出!J:J)</f>
        <v>0</v>
      </c>
      <c r="I52" s="105">
        <f>SUMIF(歳出!I:I,精算表!A52,歳出!J:J)</f>
        <v>0</v>
      </c>
      <c r="J52" s="105">
        <f>SUMIF(決算整理!C:C,精算表!A52,決算整理!E:E)</f>
        <v>4780740</v>
      </c>
      <c r="K52" s="106">
        <f>SUMIF(決算整理!D:D,精算表!A52,決算整理!E:E)</f>
        <v>4828911</v>
      </c>
      <c r="L52" s="105"/>
      <c r="M52" s="105"/>
      <c r="N52" s="105"/>
      <c r="O52" s="105"/>
      <c r="P52" s="105">
        <f>SUMIF(相殺仕訳!J:J,精算表!A52,相殺仕訳!L:L)</f>
        <v>0</v>
      </c>
      <c r="Q52" s="107">
        <f>SUMIF(相殺仕訳!K:K,精算表!A52,相殺仕訳!L:L)</f>
        <v>0</v>
      </c>
      <c r="R52" s="108">
        <f>D52+F52-G52+H52-I52+J52-K52+L52-M52+N52-O52+P52-Q52</f>
        <v>-4828911</v>
      </c>
      <c r="S52" s="109"/>
    </row>
    <row r="53" spans="1:19" ht="15" customHeight="1" x14ac:dyDescent="0.4">
      <c r="A53" s="297"/>
      <c r="C53" s="101" t="s">
        <v>173</v>
      </c>
      <c r="D53" s="68">
        <f>SUM(D54:D57)+SUM(D60:D62)</f>
        <v>1794380602</v>
      </c>
      <c r="E53" s="68"/>
      <c r="F53" s="68">
        <f t="shared" ref="F53:S53" si="12">SUM(F54:F57)+SUM(F60:F62)</f>
        <v>5130802249</v>
      </c>
      <c r="G53" s="68">
        <f t="shared" si="12"/>
        <v>0</v>
      </c>
      <c r="H53" s="68">
        <f>SUM(H54:H57)+SUM(H60:H62)</f>
        <v>131178000</v>
      </c>
      <c r="I53" s="68">
        <f>SUM(I54:I57)+SUM(I60:I62)</f>
        <v>5197729424</v>
      </c>
      <c r="J53" s="68">
        <f t="shared" si="12"/>
        <v>103574714</v>
      </c>
      <c r="K53" s="102">
        <f t="shared" si="12"/>
        <v>28807937</v>
      </c>
      <c r="L53" s="102">
        <f t="shared" si="12"/>
        <v>0</v>
      </c>
      <c r="M53" s="102">
        <f t="shared" si="12"/>
        <v>0</v>
      </c>
      <c r="N53" s="102">
        <f>SUM(N54:N57)+SUM(N60:N62)</f>
        <v>0</v>
      </c>
      <c r="O53" s="102">
        <f>SUM(O54:O57)+SUM(O60:O62)</f>
        <v>0</v>
      </c>
      <c r="P53" s="102">
        <f t="shared" si="12"/>
        <v>0</v>
      </c>
      <c r="Q53" s="102">
        <f t="shared" si="12"/>
        <v>0</v>
      </c>
      <c r="R53" s="103">
        <f t="shared" si="12"/>
        <v>1933398204</v>
      </c>
      <c r="S53" s="104">
        <f t="shared" si="12"/>
        <v>0</v>
      </c>
    </row>
    <row r="54" spans="1:19" ht="15" customHeight="1" x14ac:dyDescent="0.4">
      <c r="A54" s="297" t="s">
        <v>434</v>
      </c>
      <c r="C54" s="101" t="s">
        <v>174</v>
      </c>
      <c r="D54" s="68">
        <f>開始BS!$B$53</f>
        <v>331505838</v>
      </c>
      <c r="E54" s="68"/>
      <c r="F54" s="110">
        <f>$F$195</f>
        <v>5130802249</v>
      </c>
      <c r="G54" s="110">
        <f>$G$195</f>
        <v>0</v>
      </c>
      <c r="H54" s="110">
        <f>$H$195</f>
        <v>0</v>
      </c>
      <c r="I54" s="110">
        <f>-$I$195</f>
        <v>5197729424</v>
      </c>
      <c r="J54" s="110">
        <f>J195+J199</f>
        <v>52058814</v>
      </c>
      <c r="K54" s="111">
        <f>K195+K199</f>
        <v>0</v>
      </c>
      <c r="L54" s="110"/>
      <c r="M54" s="110"/>
      <c r="N54" s="110"/>
      <c r="O54" s="110"/>
      <c r="P54" s="110"/>
      <c r="Q54" s="112"/>
      <c r="R54" s="113">
        <f>D54+F54-G54+H54-I54+J54-K54+L54-M54+N54-O54+P54-Q54</f>
        <v>316637477</v>
      </c>
      <c r="S54" s="114"/>
    </row>
    <row r="55" spans="1:19" ht="15" customHeight="1" x14ac:dyDescent="0.4">
      <c r="A55" s="297" t="s">
        <v>37</v>
      </c>
      <c r="C55" s="101" t="s">
        <v>175</v>
      </c>
      <c r="D55" s="68">
        <f>開始BS!$B$54</f>
        <v>27548914</v>
      </c>
      <c r="E55" s="68"/>
      <c r="F55" s="105">
        <f>SUMIF(歳入!I:I,精算表!A55,歳入!K:K)</f>
        <v>0</v>
      </c>
      <c r="G55" s="105">
        <f>SUMIF(歳入!J:J,精算表!A55,歳入!K:K)</f>
        <v>0</v>
      </c>
      <c r="H55" s="105">
        <f>SUMIF(歳出!H:H,精算表!A55,歳出!J:J)</f>
        <v>0</v>
      </c>
      <c r="I55" s="105">
        <f>SUMIF(歳出!I:I,精算表!A55,歳出!J:J)</f>
        <v>0</v>
      </c>
      <c r="J55" s="105">
        <f>SUMIF(決算整理!C:C,精算表!A55,決算整理!E:E)</f>
        <v>51427100</v>
      </c>
      <c r="K55" s="106">
        <f>SUMIF(決算整理!D:D,精算表!A55,決算整理!E:E)</f>
        <v>27637714</v>
      </c>
      <c r="L55" s="105"/>
      <c r="M55" s="105"/>
      <c r="N55" s="105"/>
      <c r="O55" s="105"/>
      <c r="P55" s="105">
        <f>SUMIF(相殺仕訳!J:J,精算表!A55,相殺仕訳!L:L)</f>
        <v>0</v>
      </c>
      <c r="Q55" s="107">
        <f>SUMIF(相殺仕訳!K:K,精算表!A55,相殺仕訳!L:L)</f>
        <v>0</v>
      </c>
      <c r="R55" s="108">
        <f>D55+F55-G55+H55-I55+J55-K55+L55-M55+N55-O55+P55-Q55</f>
        <v>51338300</v>
      </c>
      <c r="S55" s="109"/>
    </row>
    <row r="56" spans="1:19" ht="15" customHeight="1" x14ac:dyDescent="0.4">
      <c r="A56" s="297" t="s">
        <v>38</v>
      </c>
      <c r="C56" s="101" t="s">
        <v>176</v>
      </c>
      <c r="D56" s="68">
        <f>開始BS!$B$55</f>
        <v>0</v>
      </c>
      <c r="E56" s="68"/>
      <c r="F56" s="105">
        <f>SUMIF(歳入!I:I,精算表!A56,歳入!K:K)</f>
        <v>0</v>
      </c>
      <c r="G56" s="105">
        <f>SUMIF(歳入!J:J,精算表!A56,歳入!K:K)</f>
        <v>0</v>
      </c>
      <c r="H56" s="105">
        <f>SUMIF(歳出!H:H,精算表!A56,歳出!J:J)</f>
        <v>0</v>
      </c>
      <c r="I56" s="105">
        <f>SUMIF(歳出!I:I,精算表!A56,歳出!J:J)</f>
        <v>0</v>
      </c>
      <c r="J56" s="105">
        <f>SUMIF(決算整理!C:C,精算表!A56,決算整理!E:E)</f>
        <v>0</v>
      </c>
      <c r="K56" s="106">
        <f>SUMIF(決算整理!D:D,精算表!A56,決算整理!E:E)</f>
        <v>0</v>
      </c>
      <c r="L56" s="105"/>
      <c r="M56" s="105"/>
      <c r="N56" s="105"/>
      <c r="O56" s="105"/>
      <c r="P56" s="105">
        <f>SUMIF(相殺仕訳!J:J,精算表!A56,相殺仕訳!L:L)</f>
        <v>0</v>
      </c>
      <c r="Q56" s="107">
        <f>SUMIF(相殺仕訳!K:K,精算表!A56,相殺仕訳!L:L)</f>
        <v>0</v>
      </c>
      <c r="R56" s="108">
        <f>D56+F56-G56+H56-I56+J56-K56+L56-M56+N56-O56+P56-Q56</f>
        <v>0</v>
      </c>
      <c r="S56" s="109"/>
    </row>
    <row r="57" spans="1:19" ht="15" customHeight="1" x14ac:dyDescent="0.4">
      <c r="A57" s="297"/>
      <c r="C57" s="101" t="s">
        <v>177</v>
      </c>
      <c r="D57" s="68">
        <f>SUM(D58:D59)</f>
        <v>1437493000</v>
      </c>
      <c r="E57" s="68"/>
      <c r="F57" s="68">
        <f t="shared" ref="F57:S57" si="13">SUM(F58:F59)</f>
        <v>0</v>
      </c>
      <c r="G57" s="68">
        <f t="shared" si="13"/>
        <v>0</v>
      </c>
      <c r="H57" s="68">
        <f>SUM(H58:H59)</f>
        <v>131178000</v>
      </c>
      <c r="I57" s="68">
        <f t="shared" si="13"/>
        <v>0</v>
      </c>
      <c r="J57" s="68">
        <f t="shared" si="13"/>
        <v>0</v>
      </c>
      <c r="K57" s="102">
        <f t="shared" si="13"/>
        <v>0</v>
      </c>
      <c r="L57" s="102">
        <f t="shared" si="13"/>
        <v>0</v>
      </c>
      <c r="M57" s="102">
        <f t="shared" si="13"/>
        <v>0</v>
      </c>
      <c r="N57" s="102">
        <f>SUM(N58:N59)</f>
        <v>0</v>
      </c>
      <c r="O57" s="102">
        <f>SUM(O58:O59)</f>
        <v>0</v>
      </c>
      <c r="P57" s="102">
        <f t="shared" si="13"/>
        <v>0</v>
      </c>
      <c r="Q57" s="102">
        <f t="shared" si="13"/>
        <v>0</v>
      </c>
      <c r="R57" s="103">
        <f t="shared" si="13"/>
        <v>1568671000</v>
      </c>
      <c r="S57" s="104">
        <f t="shared" si="13"/>
        <v>0</v>
      </c>
    </row>
    <row r="58" spans="1:19" ht="15" customHeight="1" x14ac:dyDescent="0.4">
      <c r="A58" s="297" t="s">
        <v>39</v>
      </c>
      <c r="C58" s="101" t="s">
        <v>178</v>
      </c>
      <c r="D58" s="68">
        <f>開始BS!$B$57</f>
        <v>1341737000</v>
      </c>
      <c r="E58" s="68"/>
      <c r="F58" s="105">
        <f>SUMIF(歳入!I:I,精算表!A58,歳入!K:K)</f>
        <v>0</v>
      </c>
      <c r="G58" s="105">
        <f>SUMIF(歳入!J:J,精算表!A58,歳入!K:K)</f>
        <v>0</v>
      </c>
      <c r="H58" s="105">
        <f>SUMIF(歳出!H:H,精算表!A58,歳出!J:J)</f>
        <v>115170000</v>
      </c>
      <c r="I58" s="105">
        <f>SUMIF(歳出!I:I,精算表!A58,歳出!J:J)</f>
        <v>0</v>
      </c>
      <c r="J58" s="105">
        <f>SUMIF(決算整理!C:C,精算表!A58,決算整理!E:E)</f>
        <v>0</v>
      </c>
      <c r="K58" s="106">
        <f>SUMIF(決算整理!D:D,精算表!A58,決算整理!E:E)</f>
        <v>0</v>
      </c>
      <c r="L58" s="105"/>
      <c r="M58" s="105"/>
      <c r="N58" s="105"/>
      <c r="O58" s="105"/>
      <c r="P58" s="105">
        <f>SUMIF(相殺仕訳!J:J,精算表!A58,相殺仕訳!L:L)</f>
        <v>0</v>
      </c>
      <c r="Q58" s="107">
        <f>SUMIF(相殺仕訳!K:K,精算表!A58,相殺仕訳!L:L)</f>
        <v>0</v>
      </c>
      <c r="R58" s="108">
        <f>D58+F58-G58+H58-I58+J58-K58+L58-M58+N58-O58+P58-Q58</f>
        <v>1456907000</v>
      </c>
      <c r="S58" s="109"/>
    </row>
    <row r="59" spans="1:19" ht="15" customHeight="1" x14ac:dyDescent="0.4">
      <c r="A59" s="297" t="s">
        <v>40</v>
      </c>
      <c r="C59" s="101" t="s">
        <v>179</v>
      </c>
      <c r="D59" s="68">
        <f>開始BS!$B$58</f>
        <v>95756000</v>
      </c>
      <c r="E59" s="68"/>
      <c r="F59" s="105">
        <f>SUMIF(歳入!I:I,精算表!A59,歳入!K:K)</f>
        <v>0</v>
      </c>
      <c r="G59" s="105">
        <f>SUMIF(歳入!J:J,精算表!A59,歳入!K:K)</f>
        <v>0</v>
      </c>
      <c r="H59" s="105">
        <f>SUMIF(歳出!H:H,精算表!A59,歳出!J:J)</f>
        <v>16008000</v>
      </c>
      <c r="I59" s="105">
        <f>SUMIF(歳出!I:I,精算表!A59,歳出!J:J)</f>
        <v>0</v>
      </c>
      <c r="J59" s="105">
        <f>SUMIF(決算整理!C:C,精算表!A59,決算整理!E:E)</f>
        <v>0</v>
      </c>
      <c r="K59" s="106">
        <f>SUMIF(決算整理!D:D,精算表!A59,決算整理!E:E)</f>
        <v>0</v>
      </c>
      <c r="L59" s="105"/>
      <c r="M59" s="105"/>
      <c r="N59" s="105"/>
      <c r="O59" s="105"/>
      <c r="P59" s="105">
        <f>SUMIF(相殺仕訳!J:J,精算表!A59,相殺仕訳!L:L)</f>
        <v>0</v>
      </c>
      <c r="Q59" s="107">
        <f>SUMIF(相殺仕訳!K:K,精算表!A59,相殺仕訳!L:L)</f>
        <v>0</v>
      </c>
      <c r="R59" s="108">
        <f>D59+F59-G59+H59-I59+J59-K59+L59-M59+N59-O59+P59-Q59</f>
        <v>111764000</v>
      </c>
      <c r="S59" s="109"/>
    </row>
    <row r="60" spans="1:19" ht="15" customHeight="1" x14ac:dyDescent="0.4">
      <c r="A60" s="297" t="s">
        <v>41</v>
      </c>
      <c r="C60" s="101" t="s">
        <v>180</v>
      </c>
      <c r="D60" s="68">
        <f>開始BS!$B$59</f>
        <v>0</v>
      </c>
      <c r="E60" s="68"/>
      <c r="F60" s="105">
        <f>SUMIF(歳入!I:I,精算表!A60,歳入!K:K)</f>
        <v>0</v>
      </c>
      <c r="G60" s="105">
        <f>SUMIF(歳入!J:J,精算表!A60,歳入!K:K)</f>
        <v>0</v>
      </c>
      <c r="H60" s="105">
        <f>SUMIF(歳出!H:H,精算表!A60,歳出!J:J)</f>
        <v>0</v>
      </c>
      <c r="I60" s="105">
        <f>SUMIF(歳出!I:I,精算表!A60,歳出!J:J)</f>
        <v>0</v>
      </c>
      <c r="J60" s="105">
        <f>SUMIF(決算整理!C:C,精算表!A60,決算整理!E:E)</f>
        <v>0</v>
      </c>
      <c r="K60" s="106">
        <f>SUMIF(決算整理!D:D,精算表!A60,決算整理!E:E)</f>
        <v>0</v>
      </c>
      <c r="L60" s="105"/>
      <c r="M60" s="105"/>
      <c r="N60" s="105"/>
      <c r="O60" s="105"/>
      <c r="P60" s="105">
        <f>SUMIF(相殺仕訳!J:J,精算表!A60,相殺仕訳!L:L)</f>
        <v>0</v>
      </c>
      <c r="Q60" s="107">
        <f>SUMIF(相殺仕訳!K:K,精算表!A60,相殺仕訳!L:L)</f>
        <v>0</v>
      </c>
      <c r="R60" s="108">
        <f>D60+F60-G60+H60-I60+J60-K60+L60-M60+N60-O60+P60-Q60</f>
        <v>0</v>
      </c>
      <c r="S60" s="109"/>
    </row>
    <row r="61" spans="1:19" ht="15" customHeight="1" x14ac:dyDescent="0.4">
      <c r="A61" s="297" t="s">
        <v>42</v>
      </c>
      <c r="C61" s="101" t="s">
        <v>132</v>
      </c>
      <c r="D61" s="68">
        <f>開始BS!$B$60</f>
        <v>0</v>
      </c>
      <c r="E61" s="68"/>
      <c r="F61" s="105">
        <f>SUMIF(歳入!I:I,精算表!A61,歳入!K:K)</f>
        <v>0</v>
      </c>
      <c r="G61" s="105">
        <f>SUMIF(歳入!J:J,精算表!A61,歳入!K:K)</f>
        <v>0</v>
      </c>
      <c r="H61" s="105">
        <f>SUMIF(歳出!H:H,精算表!A61,歳出!J:J)</f>
        <v>0</v>
      </c>
      <c r="I61" s="105">
        <f>SUMIF(歳出!I:I,精算表!A61,歳出!J:J)</f>
        <v>0</v>
      </c>
      <c r="J61" s="105">
        <f>SUMIF(決算整理!C:C,精算表!A61,決算整理!E:E)</f>
        <v>0</v>
      </c>
      <c r="K61" s="106">
        <f>SUMIF(決算整理!D:D,精算表!A61,決算整理!E:E)</f>
        <v>0</v>
      </c>
      <c r="L61" s="105"/>
      <c r="M61" s="105"/>
      <c r="N61" s="105"/>
      <c r="O61" s="105"/>
      <c r="P61" s="105">
        <f>SUMIF(相殺仕訳!J:J,精算表!A61,相殺仕訳!L:L)</f>
        <v>0</v>
      </c>
      <c r="Q61" s="107">
        <f>SUMIF(相殺仕訳!K:K,精算表!A61,相殺仕訳!L:L)</f>
        <v>0</v>
      </c>
      <c r="R61" s="108">
        <f>D61+F61-G61+H61-I61+J61-K61+L61-M61+N61-O61+P61-Q61</f>
        <v>0</v>
      </c>
      <c r="S61" s="109"/>
    </row>
    <row r="62" spans="1:19" ht="15" customHeight="1" x14ac:dyDescent="0.4">
      <c r="A62" s="297" t="s">
        <v>43</v>
      </c>
      <c r="C62" s="115" t="s">
        <v>181</v>
      </c>
      <c r="D62" s="70">
        <f>開始BS!$B$61</f>
        <v>-2167150</v>
      </c>
      <c r="E62" s="70"/>
      <c r="F62" s="105">
        <f>SUMIF(歳入!I:I,精算表!A62,歳入!K:K)</f>
        <v>0</v>
      </c>
      <c r="G62" s="105">
        <f>SUMIF(歳入!J:J,精算表!A62,歳入!K:K)</f>
        <v>0</v>
      </c>
      <c r="H62" s="105">
        <f>SUMIF(歳出!H:H,精算表!A62,歳出!J:J)</f>
        <v>0</v>
      </c>
      <c r="I62" s="105">
        <f>SUMIF(歳出!I:I,精算表!A62,歳出!J:J)</f>
        <v>0</v>
      </c>
      <c r="J62" s="105">
        <f>SUMIF(決算整理!C:C,精算表!A62,決算整理!E:E)</f>
        <v>88800</v>
      </c>
      <c r="K62" s="106">
        <f>SUMIF(決算整理!D:D,精算表!A62,決算整理!E:E)</f>
        <v>1170223</v>
      </c>
      <c r="L62" s="121"/>
      <c r="M62" s="121"/>
      <c r="N62" s="121"/>
      <c r="O62" s="121"/>
      <c r="P62" s="105">
        <f>SUMIF(相殺仕訳!J:J,精算表!A62,相殺仕訳!L:L)</f>
        <v>0</v>
      </c>
      <c r="Q62" s="107">
        <f>SUMIF(相殺仕訳!K:K,精算表!A62,相殺仕訳!L:L)</f>
        <v>0</v>
      </c>
      <c r="R62" s="124">
        <f>D62+F62-G62+H62-I62+J62-K62+L62-M62+N62-O62+P62-Q62</f>
        <v>-3248573</v>
      </c>
      <c r="S62" s="125"/>
    </row>
    <row r="63" spans="1:19" ht="15" customHeight="1" x14ac:dyDescent="0.4">
      <c r="A63" s="297"/>
      <c r="C63" s="116" t="s">
        <v>183</v>
      </c>
      <c r="D63" s="71">
        <f>D7+D53</f>
        <v>14532718748</v>
      </c>
      <c r="E63" s="71"/>
      <c r="F63" s="71">
        <f>F7+F53</f>
        <v>5130802249</v>
      </c>
      <c r="G63" s="71">
        <f>G7+G53</f>
        <v>131390916</v>
      </c>
      <c r="H63" s="71">
        <f>H7+H53</f>
        <v>307281663</v>
      </c>
      <c r="I63" s="71">
        <f t="shared" ref="I63:S63" si="14">I7+I53</f>
        <v>5197729424</v>
      </c>
      <c r="J63" s="71">
        <f t="shared" si="14"/>
        <v>638824205</v>
      </c>
      <c r="K63" s="117">
        <f t="shared" si="14"/>
        <v>683683667</v>
      </c>
      <c r="L63" s="117">
        <f t="shared" si="14"/>
        <v>0</v>
      </c>
      <c r="M63" s="117">
        <f t="shared" si="14"/>
        <v>0</v>
      </c>
      <c r="N63" s="117">
        <f>N7+N53</f>
        <v>0</v>
      </c>
      <c r="O63" s="117">
        <f>O7+O53</f>
        <v>0</v>
      </c>
      <c r="P63" s="117">
        <f t="shared" si="14"/>
        <v>0</v>
      </c>
      <c r="Q63" s="117">
        <f t="shared" si="14"/>
        <v>0</v>
      </c>
      <c r="R63" s="118">
        <f t="shared" si="14"/>
        <v>14596822858</v>
      </c>
      <c r="S63" s="119">
        <f t="shared" si="14"/>
        <v>0</v>
      </c>
    </row>
    <row r="64" spans="1:19" ht="15" customHeight="1" x14ac:dyDescent="0.4">
      <c r="A64" s="297"/>
      <c r="C64" s="96"/>
      <c r="D64" s="64"/>
      <c r="E64" s="64"/>
      <c r="F64" s="64"/>
      <c r="G64" s="64"/>
      <c r="H64" s="64"/>
      <c r="I64" s="64"/>
      <c r="J64" s="64"/>
      <c r="K64" s="97"/>
      <c r="L64" s="64"/>
      <c r="M64" s="64"/>
      <c r="N64" s="64"/>
      <c r="O64" s="64"/>
      <c r="P64" s="64"/>
      <c r="Q64" s="98"/>
      <c r="R64" s="99"/>
      <c r="S64" s="100"/>
    </row>
    <row r="65" spans="1:19" ht="15" customHeight="1" x14ac:dyDescent="0.4">
      <c r="A65" s="297"/>
      <c r="C65" s="101" t="s">
        <v>120</v>
      </c>
      <c r="D65" s="68"/>
      <c r="E65" s="68"/>
      <c r="F65" s="68"/>
      <c r="G65" s="68"/>
      <c r="H65" s="68"/>
      <c r="I65" s="68"/>
      <c r="J65" s="68"/>
      <c r="K65" s="102"/>
      <c r="L65" s="68"/>
      <c r="M65" s="68"/>
      <c r="N65" s="68"/>
      <c r="O65" s="68"/>
      <c r="P65" s="68"/>
      <c r="Q65" s="120"/>
      <c r="R65" s="103"/>
      <c r="S65" s="104"/>
    </row>
    <row r="66" spans="1:19" ht="15" customHeight="1" x14ac:dyDescent="0.4">
      <c r="A66" s="297"/>
      <c r="C66" s="101" t="s">
        <v>122</v>
      </c>
      <c r="D66" s="68"/>
      <c r="E66" s="68">
        <f t="shared" ref="E66:Q66" si="15">SUM(E67:E71)</f>
        <v>5106415532</v>
      </c>
      <c r="F66" s="68">
        <f t="shared" si="15"/>
        <v>0</v>
      </c>
      <c r="G66" s="68">
        <f t="shared" si="15"/>
        <v>114688000</v>
      </c>
      <c r="H66" s="68">
        <f t="shared" si="15"/>
        <v>0</v>
      </c>
      <c r="I66" s="68">
        <f t="shared" si="15"/>
        <v>0</v>
      </c>
      <c r="J66" s="68">
        <f t="shared" si="15"/>
        <v>408846262</v>
      </c>
      <c r="K66" s="102">
        <f t="shared" si="15"/>
        <v>0</v>
      </c>
      <c r="L66" s="102">
        <f t="shared" si="15"/>
        <v>0</v>
      </c>
      <c r="M66" s="102">
        <f t="shared" si="15"/>
        <v>0</v>
      </c>
      <c r="N66" s="102">
        <f>SUM(N67:N71)</f>
        <v>0</v>
      </c>
      <c r="O66" s="102">
        <f>SUM(O67:O71)</f>
        <v>0</v>
      </c>
      <c r="P66" s="102">
        <f t="shared" si="15"/>
        <v>0</v>
      </c>
      <c r="Q66" s="102">
        <f t="shared" si="15"/>
        <v>0</v>
      </c>
      <c r="R66" s="103"/>
      <c r="S66" s="104">
        <f>SUM(S67:S71)</f>
        <v>4812257270</v>
      </c>
    </row>
    <row r="67" spans="1:19" ht="15" customHeight="1" x14ac:dyDescent="0.4">
      <c r="A67" s="297" t="s">
        <v>44</v>
      </c>
      <c r="C67" s="101" t="s">
        <v>124</v>
      </c>
      <c r="D67" s="68"/>
      <c r="E67" s="68">
        <f>開始BS!$D$8</f>
        <v>3799960532</v>
      </c>
      <c r="F67" s="105">
        <f>SUMIF(歳入!I:I,精算表!A67,歳入!K:K)</f>
        <v>0</v>
      </c>
      <c r="G67" s="105">
        <f>SUMIF(歳入!J:J,精算表!A67,歳入!K:K)</f>
        <v>114688000</v>
      </c>
      <c r="H67" s="105">
        <f>SUMIF(歳出!H:H,精算表!A67,歳出!J:J)</f>
        <v>0</v>
      </c>
      <c r="I67" s="105">
        <f>SUMIF(歳出!I:I,精算表!A67,歳出!J:J)</f>
        <v>0</v>
      </c>
      <c r="J67" s="105">
        <f>SUMIF(決算整理!C:C,精算表!A67,決算整理!E:E)</f>
        <v>356523262</v>
      </c>
      <c r="K67" s="106">
        <f>SUMIF(決算整理!D:D,精算表!A67,決算整理!E:E)</f>
        <v>0</v>
      </c>
      <c r="L67" s="105"/>
      <c r="M67" s="105"/>
      <c r="N67" s="105"/>
      <c r="O67" s="105"/>
      <c r="P67" s="105">
        <f>SUMIF(相殺仕訳!J:J,精算表!A67,相殺仕訳!L:L)</f>
        <v>0</v>
      </c>
      <c r="Q67" s="107">
        <f>SUMIF(相殺仕訳!K:K,精算表!A67,相殺仕訳!L:L)</f>
        <v>0</v>
      </c>
      <c r="R67" s="108"/>
      <c r="S67" s="109">
        <f>E67-F67+G67-H67+I67-J67+K67-L67+M67-N67+O67-P67+Q67</f>
        <v>3558125270</v>
      </c>
    </row>
    <row r="68" spans="1:19" ht="15" customHeight="1" x14ac:dyDescent="0.4">
      <c r="A68" s="297" t="s">
        <v>45</v>
      </c>
      <c r="C68" s="101" t="s">
        <v>126</v>
      </c>
      <c r="D68" s="68"/>
      <c r="E68" s="68">
        <f>開始BS!$D$9</f>
        <v>0</v>
      </c>
      <c r="F68" s="105">
        <f>SUMIF(歳入!I:I,精算表!A68,歳入!K:K)</f>
        <v>0</v>
      </c>
      <c r="G68" s="105">
        <f>SUMIF(歳入!J:J,精算表!A68,歳入!K:K)</f>
        <v>0</v>
      </c>
      <c r="H68" s="105">
        <f>SUMIF(歳出!H:H,精算表!A68,歳出!J:J)</f>
        <v>0</v>
      </c>
      <c r="I68" s="105">
        <f>SUMIF(歳出!I:I,精算表!A68,歳出!J:J)</f>
        <v>0</v>
      </c>
      <c r="J68" s="105">
        <f>SUMIF(決算整理!C:C,精算表!A68,決算整理!E:E)</f>
        <v>0</v>
      </c>
      <c r="K68" s="106">
        <f>SUMIF(決算整理!D:D,精算表!A68,決算整理!E:E)</f>
        <v>0</v>
      </c>
      <c r="L68" s="105"/>
      <c r="M68" s="105"/>
      <c r="N68" s="105"/>
      <c r="O68" s="105"/>
      <c r="P68" s="105">
        <f>SUMIF(相殺仕訳!J:J,精算表!A68,相殺仕訳!L:L)</f>
        <v>0</v>
      </c>
      <c r="Q68" s="107">
        <f>SUMIF(相殺仕訳!K:K,精算表!A68,相殺仕訳!L:L)</f>
        <v>0</v>
      </c>
      <c r="R68" s="108"/>
      <c r="S68" s="109">
        <f>E68-F68+G68-H68+I68-J68+K68-L68+M68-N68+O68-P68+Q68</f>
        <v>0</v>
      </c>
    </row>
    <row r="69" spans="1:19" ht="15" customHeight="1" x14ac:dyDescent="0.4">
      <c r="A69" s="297" t="s">
        <v>46</v>
      </c>
      <c r="C69" s="101" t="s">
        <v>128</v>
      </c>
      <c r="D69" s="68"/>
      <c r="E69" s="68">
        <f>開始BS!$D$10</f>
        <v>1224338000</v>
      </c>
      <c r="F69" s="105">
        <f>SUMIF(歳入!I:I,精算表!A69,歳入!K:K)</f>
        <v>0</v>
      </c>
      <c r="G69" s="105">
        <f>SUMIF(歳入!J:J,精算表!A69,歳入!K:K)</f>
        <v>0</v>
      </c>
      <c r="H69" s="105">
        <f>SUMIF(歳出!H:H,精算表!A69,歳出!J:J)</f>
        <v>0</v>
      </c>
      <c r="I69" s="105">
        <f>SUMIF(歳出!I:I,精算表!A69,歳出!J:J)</f>
        <v>0</v>
      </c>
      <c r="J69" s="105">
        <f>SUMIF(決算整理!C:C,精算表!A69,決算整理!E:E)</f>
        <v>52323000</v>
      </c>
      <c r="K69" s="106">
        <f>SUMIF(決算整理!D:D,精算表!A69,決算整理!E:E)</f>
        <v>0</v>
      </c>
      <c r="L69" s="105"/>
      <c r="M69" s="105"/>
      <c r="N69" s="105"/>
      <c r="O69" s="105"/>
      <c r="P69" s="105">
        <f>SUMIF(相殺仕訳!J:J,精算表!A69,相殺仕訳!L:L)</f>
        <v>0</v>
      </c>
      <c r="Q69" s="107">
        <f>SUMIF(相殺仕訳!K:K,精算表!A69,相殺仕訳!L:L)</f>
        <v>0</v>
      </c>
      <c r="R69" s="108"/>
      <c r="S69" s="109">
        <f>E69-F69+G69-H69+I69-J69+K69-L69+M69-N69+O69-P69+Q69</f>
        <v>1172015000</v>
      </c>
    </row>
    <row r="70" spans="1:19" ht="15" customHeight="1" x14ac:dyDescent="0.4">
      <c r="A70" s="297" t="s">
        <v>47</v>
      </c>
      <c r="C70" s="101" t="s">
        <v>130</v>
      </c>
      <c r="D70" s="68"/>
      <c r="E70" s="68">
        <f>開始BS!$D$11</f>
        <v>0</v>
      </c>
      <c r="F70" s="105">
        <f>SUMIF(歳入!I:I,精算表!A70,歳入!K:K)</f>
        <v>0</v>
      </c>
      <c r="G70" s="105">
        <f>SUMIF(歳入!J:J,精算表!A70,歳入!K:K)</f>
        <v>0</v>
      </c>
      <c r="H70" s="105">
        <f>SUMIF(歳出!H:H,精算表!A70,歳出!J:J)</f>
        <v>0</v>
      </c>
      <c r="I70" s="105">
        <f>SUMIF(歳出!I:I,精算表!A70,歳出!J:J)</f>
        <v>0</v>
      </c>
      <c r="J70" s="105">
        <f>SUMIF(決算整理!C:C,精算表!A70,決算整理!E:E)</f>
        <v>0</v>
      </c>
      <c r="K70" s="106">
        <f>SUMIF(決算整理!D:D,精算表!A70,決算整理!E:E)</f>
        <v>0</v>
      </c>
      <c r="L70" s="105"/>
      <c r="M70" s="105"/>
      <c r="N70" s="105"/>
      <c r="O70" s="105"/>
      <c r="P70" s="105">
        <f>SUMIF(相殺仕訳!J:J,精算表!A70,相殺仕訳!L:L)</f>
        <v>0</v>
      </c>
      <c r="Q70" s="107">
        <f>SUMIF(相殺仕訳!K:K,精算表!A70,相殺仕訳!L:L)</f>
        <v>0</v>
      </c>
      <c r="R70" s="108"/>
      <c r="S70" s="109">
        <f>E70-F70+G70-H70+I70-J70+K70-L70+M70-N70+O70-P70+Q70</f>
        <v>0</v>
      </c>
    </row>
    <row r="71" spans="1:19" ht="15" customHeight="1" x14ac:dyDescent="0.4">
      <c r="A71" s="297" t="s">
        <v>48</v>
      </c>
      <c r="C71" s="101" t="s">
        <v>132</v>
      </c>
      <c r="D71" s="68"/>
      <c r="E71" s="68">
        <f>開始BS!$D$12</f>
        <v>82117000</v>
      </c>
      <c r="F71" s="105">
        <f>SUMIF(歳入!I:I,精算表!A71,歳入!K:K)</f>
        <v>0</v>
      </c>
      <c r="G71" s="105">
        <f>SUMIF(歳入!J:J,精算表!A71,歳入!K:K)</f>
        <v>0</v>
      </c>
      <c r="H71" s="105">
        <f>SUMIF(歳出!H:H,精算表!A71,歳出!J:J)</f>
        <v>0</v>
      </c>
      <c r="I71" s="105">
        <f>SUMIF(歳出!I:I,精算表!A71,歳出!J:J)</f>
        <v>0</v>
      </c>
      <c r="J71" s="105">
        <f>SUMIF(決算整理!C:C,精算表!A71,決算整理!E:E)</f>
        <v>0</v>
      </c>
      <c r="K71" s="106">
        <f>SUMIF(決算整理!D:D,精算表!A71,決算整理!E:E)</f>
        <v>0</v>
      </c>
      <c r="L71" s="105"/>
      <c r="M71" s="105"/>
      <c r="N71" s="105"/>
      <c r="O71" s="105"/>
      <c r="P71" s="105">
        <f>SUMIF(相殺仕訳!J:J,精算表!A71,相殺仕訳!L:L)</f>
        <v>0</v>
      </c>
      <c r="Q71" s="107">
        <f>SUMIF(相殺仕訳!K:K,精算表!A71,相殺仕訳!L:L)</f>
        <v>0</v>
      </c>
      <c r="R71" s="108"/>
      <c r="S71" s="109">
        <f>E71-F71+G71-H71+I71-J71+K71-L71+M71-N71+O71-P71+Q71</f>
        <v>82117000</v>
      </c>
    </row>
    <row r="72" spans="1:19" ht="15" customHeight="1" x14ac:dyDescent="0.4">
      <c r="A72" s="297"/>
      <c r="C72" s="101" t="s">
        <v>134</v>
      </c>
      <c r="D72" s="68"/>
      <c r="E72" s="68">
        <f t="shared" ref="E72:Q72" si="16">SUM(E73:E80)</f>
        <v>457973837</v>
      </c>
      <c r="F72" s="68">
        <f t="shared" si="16"/>
        <v>0</v>
      </c>
      <c r="G72" s="68">
        <f t="shared" si="16"/>
        <v>0</v>
      </c>
      <c r="H72" s="68">
        <f t="shared" si="16"/>
        <v>375852129</v>
      </c>
      <c r="I72" s="68">
        <f t="shared" si="16"/>
        <v>0</v>
      </c>
      <c r="J72" s="68">
        <f t="shared" si="16"/>
        <v>0</v>
      </c>
      <c r="K72" s="102">
        <f t="shared" si="16"/>
        <v>438988765</v>
      </c>
      <c r="L72" s="102">
        <f t="shared" si="16"/>
        <v>0</v>
      </c>
      <c r="M72" s="102">
        <f t="shared" si="16"/>
        <v>0</v>
      </c>
      <c r="N72" s="102">
        <f>SUM(N73:N80)</f>
        <v>0</v>
      </c>
      <c r="O72" s="102">
        <f>SUM(O73:O80)</f>
        <v>0</v>
      </c>
      <c r="P72" s="102">
        <f t="shared" si="16"/>
        <v>0</v>
      </c>
      <c r="Q72" s="102">
        <f t="shared" si="16"/>
        <v>0</v>
      </c>
      <c r="R72" s="103"/>
      <c r="S72" s="104">
        <f>SUM(S73:S80)</f>
        <v>521110473</v>
      </c>
    </row>
    <row r="73" spans="1:19" ht="15" customHeight="1" x14ac:dyDescent="0.4">
      <c r="A73" s="297" t="s">
        <v>49</v>
      </c>
      <c r="C73" s="101" t="s">
        <v>136</v>
      </c>
      <c r="D73" s="68"/>
      <c r="E73" s="68">
        <f>開始BS!$D$14</f>
        <v>375852129</v>
      </c>
      <c r="F73" s="105">
        <f>SUMIF(歳入!I:I,精算表!A73,歳入!K:K)</f>
        <v>0</v>
      </c>
      <c r="G73" s="105">
        <f>SUMIF(歳入!J:J,精算表!A73,歳入!K:K)</f>
        <v>0</v>
      </c>
      <c r="H73" s="105">
        <f>SUMIF(歳出!H:H,精算表!A73,歳出!J:J)</f>
        <v>375852129</v>
      </c>
      <c r="I73" s="105">
        <f>SUMIF(歳出!I:I,精算表!A73,歳出!J:J)</f>
        <v>0</v>
      </c>
      <c r="J73" s="105">
        <f>SUMIF(決算整理!C:C,精算表!A73,決算整理!E:E)</f>
        <v>0</v>
      </c>
      <c r="K73" s="106">
        <f>SUMIF(決算整理!D:D,精算表!A73,決算整理!E:E)</f>
        <v>356523262</v>
      </c>
      <c r="L73" s="105"/>
      <c r="M73" s="105"/>
      <c r="N73" s="105"/>
      <c r="O73" s="105"/>
      <c r="P73" s="105">
        <f>SUMIF(相殺仕訳!J:J,精算表!A73,相殺仕訳!L:L)</f>
        <v>0</v>
      </c>
      <c r="Q73" s="107">
        <f>SUMIF(相殺仕訳!K:K,精算表!A73,相殺仕訳!L:L)</f>
        <v>0</v>
      </c>
      <c r="R73" s="108"/>
      <c r="S73" s="109">
        <f t="shared" ref="S73:S80" si="17">E73-F73+G73-H73+I73-J73+K73-L73+M73-N73+O73-P73+Q73</f>
        <v>356523262</v>
      </c>
    </row>
    <row r="74" spans="1:19" ht="15" customHeight="1" x14ac:dyDescent="0.4">
      <c r="A74" s="297" t="s">
        <v>50</v>
      </c>
      <c r="C74" s="101" t="s">
        <v>138</v>
      </c>
      <c r="D74" s="68"/>
      <c r="E74" s="68">
        <f>開始BS!$D$15</f>
        <v>0</v>
      </c>
      <c r="F74" s="105">
        <f>SUMIF(歳入!I:I,精算表!A74,歳入!K:K)</f>
        <v>0</v>
      </c>
      <c r="G74" s="105">
        <f>SUMIF(歳入!J:J,精算表!A74,歳入!K:K)</f>
        <v>0</v>
      </c>
      <c r="H74" s="105">
        <f>SUMIF(歳出!H:H,精算表!A74,歳出!J:J)</f>
        <v>0</v>
      </c>
      <c r="I74" s="105">
        <f>SUMIF(歳出!I:I,精算表!A74,歳出!J:J)</f>
        <v>0</v>
      </c>
      <c r="J74" s="105">
        <f>SUMIF(決算整理!C:C,精算表!A74,決算整理!E:E)</f>
        <v>0</v>
      </c>
      <c r="K74" s="106">
        <f>SUMIF(決算整理!D:D,精算表!A74,決算整理!E:E)</f>
        <v>0</v>
      </c>
      <c r="L74" s="105"/>
      <c r="M74" s="105"/>
      <c r="N74" s="105"/>
      <c r="O74" s="105"/>
      <c r="P74" s="105">
        <f>SUMIF(相殺仕訳!J:J,精算表!A74,相殺仕訳!L:L)</f>
        <v>0</v>
      </c>
      <c r="Q74" s="107">
        <f>SUMIF(相殺仕訳!K:K,精算表!A74,相殺仕訳!L:L)</f>
        <v>0</v>
      </c>
      <c r="R74" s="108"/>
      <c r="S74" s="109">
        <f t="shared" si="17"/>
        <v>0</v>
      </c>
    </row>
    <row r="75" spans="1:19" ht="15" customHeight="1" x14ac:dyDescent="0.4">
      <c r="A75" s="297" t="s">
        <v>51</v>
      </c>
      <c r="C75" s="101" t="s">
        <v>140</v>
      </c>
      <c r="D75" s="68"/>
      <c r="E75" s="68">
        <f>開始BS!$D$16</f>
        <v>0</v>
      </c>
      <c r="F75" s="105">
        <f>SUMIF(歳入!I:I,精算表!A75,歳入!K:K)</f>
        <v>0</v>
      </c>
      <c r="G75" s="105">
        <f>SUMIF(歳入!J:J,精算表!A75,歳入!K:K)</f>
        <v>0</v>
      </c>
      <c r="H75" s="105">
        <f>SUMIF(歳出!H:H,精算表!A75,歳出!J:J)</f>
        <v>0</v>
      </c>
      <c r="I75" s="105">
        <f>SUMIF(歳出!I:I,精算表!A75,歳出!J:J)</f>
        <v>0</v>
      </c>
      <c r="J75" s="105">
        <f>SUMIF(決算整理!C:C,精算表!A75,決算整理!E:E)</f>
        <v>0</v>
      </c>
      <c r="K75" s="106">
        <f>SUMIF(決算整理!D:D,精算表!A75,決算整理!E:E)</f>
        <v>0</v>
      </c>
      <c r="L75" s="105"/>
      <c r="M75" s="105"/>
      <c r="N75" s="105"/>
      <c r="O75" s="105"/>
      <c r="P75" s="105">
        <f>SUMIF(相殺仕訳!J:J,精算表!A75,相殺仕訳!L:L)</f>
        <v>0</v>
      </c>
      <c r="Q75" s="107">
        <f>SUMIF(相殺仕訳!K:K,精算表!A75,相殺仕訳!L:L)</f>
        <v>0</v>
      </c>
      <c r="R75" s="108"/>
      <c r="S75" s="109">
        <f t="shared" si="17"/>
        <v>0</v>
      </c>
    </row>
    <row r="76" spans="1:19" ht="15" customHeight="1" x14ac:dyDescent="0.4">
      <c r="A76" s="297" t="s">
        <v>52</v>
      </c>
      <c r="C76" s="101" t="s">
        <v>142</v>
      </c>
      <c r="D76" s="68"/>
      <c r="E76" s="68">
        <f>開始BS!$D$17</f>
        <v>0</v>
      </c>
      <c r="F76" s="105">
        <f>SUMIF(歳入!I:I,精算表!A76,歳入!K:K)</f>
        <v>0</v>
      </c>
      <c r="G76" s="105">
        <f>SUMIF(歳入!J:J,精算表!A76,歳入!K:K)</f>
        <v>0</v>
      </c>
      <c r="H76" s="105">
        <f>SUMIF(歳出!H:H,精算表!A76,歳出!J:J)</f>
        <v>0</v>
      </c>
      <c r="I76" s="105">
        <f>SUMIF(歳出!I:I,精算表!A76,歳出!J:J)</f>
        <v>0</v>
      </c>
      <c r="J76" s="105">
        <f>SUMIF(決算整理!C:C,精算表!A76,決算整理!E:E)</f>
        <v>0</v>
      </c>
      <c r="K76" s="106">
        <f>SUMIF(決算整理!D:D,精算表!A76,決算整理!E:E)</f>
        <v>0</v>
      </c>
      <c r="L76" s="105"/>
      <c r="M76" s="105"/>
      <c r="N76" s="105"/>
      <c r="O76" s="105"/>
      <c r="P76" s="105">
        <f>SUMIF(相殺仕訳!J:J,精算表!A76,相殺仕訳!L:L)</f>
        <v>0</v>
      </c>
      <c r="Q76" s="107">
        <f>SUMIF(相殺仕訳!K:K,精算表!A76,相殺仕訳!L:L)</f>
        <v>0</v>
      </c>
      <c r="R76" s="108"/>
      <c r="S76" s="109">
        <f t="shared" si="17"/>
        <v>0</v>
      </c>
    </row>
    <row r="77" spans="1:19" ht="15" customHeight="1" x14ac:dyDescent="0.4">
      <c r="A77" s="297" t="s">
        <v>53</v>
      </c>
      <c r="C77" s="101" t="s">
        <v>144</v>
      </c>
      <c r="D77" s="68"/>
      <c r="E77" s="68">
        <f>開始BS!$D$18</f>
        <v>0</v>
      </c>
      <c r="F77" s="105">
        <f>SUMIF(歳入!I:I,精算表!A77,歳入!K:K)</f>
        <v>0</v>
      </c>
      <c r="G77" s="105">
        <f>SUMIF(歳入!J:J,精算表!A77,歳入!K:K)</f>
        <v>0</v>
      </c>
      <c r="H77" s="105">
        <f>SUMIF(歳出!H:H,精算表!A77,歳出!J:J)</f>
        <v>0</v>
      </c>
      <c r="I77" s="105">
        <f>SUMIF(歳出!I:I,精算表!A77,歳出!J:J)</f>
        <v>0</v>
      </c>
      <c r="J77" s="105">
        <f>SUMIF(決算整理!C:C,精算表!A77,決算整理!E:E)</f>
        <v>0</v>
      </c>
      <c r="K77" s="106">
        <f>SUMIF(決算整理!D:D,精算表!A77,決算整理!E:E)</f>
        <v>0</v>
      </c>
      <c r="L77" s="105"/>
      <c r="M77" s="105"/>
      <c r="N77" s="105"/>
      <c r="O77" s="105"/>
      <c r="P77" s="105">
        <f>SUMIF(相殺仕訳!J:J,精算表!A77,相殺仕訳!L:L)</f>
        <v>0</v>
      </c>
      <c r="Q77" s="107">
        <f>SUMIF(相殺仕訳!K:K,精算表!A77,相殺仕訳!L:L)</f>
        <v>0</v>
      </c>
      <c r="R77" s="108"/>
      <c r="S77" s="109">
        <f t="shared" si="17"/>
        <v>0</v>
      </c>
    </row>
    <row r="78" spans="1:19" ht="15" customHeight="1" x14ac:dyDescent="0.4">
      <c r="A78" s="297" t="s">
        <v>54</v>
      </c>
      <c r="C78" s="101" t="s">
        <v>146</v>
      </c>
      <c r="D78" s="68"/>
      <c r="E78" s="68">
        <f>開始BS!$D$19</f>
        <v>68436708</v>
      </c>
      <c r="F78" s="105">
        <f>SUMIF(歳入!I:I,精算表!A78,歳入!K:K)</f>
        <v>0</v>
      </c>
      <c r="G78" s="105">
        <f>SUMIF(歳入!J:J,精算表!A78,歳入!K:K)</f>
        <v>0</v>
      </c>
      <c r="H78" s="105">
        <f>SUMIF(歳出!H:H,精算表!A78,歳出!J:J)</f>
        <v>0</v>
      </c>
      <c r="I78" s="105">
        <f>SUMIF(歳出!I:I,精算表!A78,歳出!J:J)</f>
        <v>0</v>
      </c>
      <c r="J78" s="105">
        <f>SUMIF(決算整理!C:C,精算表!A78,決算整理!E:E)</f>
        <v>0</v>
      </c>
      <c r="K78" s="106">
        <f>SUMIF(決算整理!D:D,精算表!A78,決算整理!E:E)</f>
        <v>30406689</v>
      </c>
      <c r="L78" s="105"/>
      <c r="M78" s="105"/>
      <c r="N78" s="105"/>
      <c r="O78" s="105"/>
      <c r="P78" s="105">
        <f>SUMIF(相殺仕訳!J:J,精算表!A78,相殺仕訳!L:L)</f>
        <v>0</v>
      </c>
      <c r="Q78" s="107">
        <f>SUMIF(相殺仕訳!K:K,精算表!A78,相殺仕訳!L:L)</f>
        <v>0</v>
      </c>
      <c r="R78" s="108"/>
      <c r="S78" s="109">
        <f t="shared" si="17"/>
        <v>98843397</v>
      </c>
    </row>
    <row r="79" spans="1:19" ht="15" customHeight="1" x14ac:dyDescent="0.4">
      <c r="A79" s="297" t="s">
        <v>55</v>
      </c>
      <c r="C79" s="101" t="s">
        <v>148</v>
      </c>
      <c r="D79" s="68"/>
      <c r="E79" s="68">
        <f>開始BS!$D$20</f>
        <v>0</v>
      </c>
      <c r="F79" s="105">
        <f>SUMIF(歳入!I:I,精算表!A79,歳入!K:K)</f>
        <v>0</v>
      </c>
      <c r="G79" s="105">
        <f>SUMIF(歳入!J:J,精算表!A79,歳入!K:K)</f>
        <v>0</v>
      </c>
      <c r="H79" s="105">
        <f>SUMIF(歳出!H:H,精算表!A79,歳出!J:J)</f>
        <v>0</v>
      </c>
      <c r="I79" s="105">
        <f>SUMIF(歳出!I:I,精算表!A79,歳出!J:J)</f>
        <v>0</v>
      </c>
      <c r="J79" s="105">
        <f>SUMIF(決算整理!C:C,精算表!A79,決算整理!E:E)</f>
        <v>0</v>
      </c>
      <c r="K79" s="106">
        <f>SUMIF(決算整理!D:D,精算表!A79,決算整理!E:E)</f>
        <v>52058814</v>
      </c>
      <c r="L79" s="105"/>
      <c r="M79" s="105"/>
      <c r="N79" s="105"/>
      <c r="O79" s="105"/>
      <c r="P79" s="105">
        <f>SUMIF(相殺仕訳!J:J,精算表!A79,相殺仕訳!L:L)</f>
        <v>0</v>
      </c>
      <c r="Q79" s="107">
        <f>SUMIF(相殺仕訳!K:K,精算表!A79,相殺仕訳!L:L)</f>
        <v>0</v>
      </c>
      <c r="R79" s="108"/>
      <c r="S79" s="109">
        <f t="shared" si="17"/>
        <v>52058814</v>
      </c>
    </row>
    <row r="80" spans="1:19" ht="15" customHeight="1" x14ac:dyDescent="0.4">
      <c r="A80" s="297" t="s">
        <v>56</v>
      </c>
      <c r="C80" s="115" t="s">
        <v>132</v>
      </c>
      <c r="D80" s="70"/>
      <c r="E80" s="70">
        <f>開始BS!$D$21</f>
        <v>13685000</v>
      </c>
      <c r="F80" s="105">
        <f>SUMIF(歳入!I:I,精算表!A80,歳入!K:K)</f>
        <v>0</v>
      </c>
      <c r="G80" s="105">
        <f>SUMIF(歳入!J:J,精算表!A80,歳入!K:K)</f>
        <v>0</v>
      </c>
      <c r="H80" s="105">
        <f>SUMIF(歳出!H:H,精算表!A80,歳出!J:J)</f>
        <v>0</v>
      </c>
      <c r="I80" s="105">
        <f>SUMIF(歳出!I:I,精算表!A80,歳出!J:J)</f>
        <v>0</v>
      </c>
      <c r="J80" s="105">
        <f>SUMIF(決算整理!C:C,精算表!A80,決算整理!E:E)</f>
        <v>0</v>
      </c>
      <c r="K80" s="106">
        <f>SUMIF(決算整理!D:D,精算表!A80,決算整理!E:E)</f>
        <v>0</v>
      </c>
      <c r="L80" s="121"/>
      <c r="M80" s="121"/>
      <c r="N80" s="121"/>
      <c r="O80" s="121"/>
      <c r="P80" s="105">
        <f>SUMIF(相殺仕訳!J:J,精算表!A80,相殺仕訳!L:L)</f>
        <v>0</v>
      </c>
      <c r="Q80" s="107">
        <f>SUMIF(相殺仕訳!K:K,精算表!A80,相殺仕訳!L:L)</f>
        <v>0</v>
      </c>
      <c r="R80" s="124"/>
      <c r="S80" s="125">
        <f t="shared" si="17"/>
        <v>13685000</v>
      </c>
    </row>
    <row r="81" spans="1:21" ht="15" customHeight="1" x14ac:dyDescent="0.4">
      <c r="A81" s="297"/>
      <c r="C81" s="116" t="s">
        <v>151</v>
      </c>
      <c r="D81" s="71"/>
      <c r="E81" s="71">
        <f t="shared" ref="E81:Q81" si="18">E72+E66</f>
        <v>5564389369</v>
      </c>
      <c r="F81" s="71">
        <f t="shared" si="18"/>
        <v>0</v>
      </c>
      <c r="G81" s="71">
        <f t="shared" si="18"/>
        <v>114688000</v>
      </c>
      <c r="H81" s="71">
        <f t="shared" si="18"/>
        <v>375852129</v>
      </c>
      <c r="I81" s="71">
        <f t="shared" si="18"/>
        <v>0</v>
      </c>
      <c r="J81" s="71">
        <f t="shared" si="18"/>
        <v>408846262</v>
      </c>
      <c r="K81" s="117">
        <f t="shared" si="18"/>
        <v>438988765</v>
      </c>
      <c r="L81" s="117">
        <f t="shared" si="18"/>
        <v>0</v>
      </c>
      <c r="M81" s="117">
        <f t="shared" si="18"/>
        <v>0</v>
      </c>
      <c r="N81" s="117">
        <f>N72+N66</f>
        <v>0</v>
      </c>
      <c r="O81" s="117">
        <f>O72+O66</f>
        <v>0</v>
      </c>
      <c r="P81" s="117">
        <f t="shared" si="18"/>
        <v>0</v>
      </c>
      <c r="Q81" s="117">
        <f t="shared" si="18"/>
        <v>0</v>
      </c>
      <c r="R81" s="118"/>
      <c r="S81" s="119">
        <f>S72+S66</f>
        <v>5333367743</v>
      </c>
    </row>
    <row r="82" spans="1:21" ht="15" customHeight="1" x14ac:dyDescent="0.4">
      <c r="A82" s="297"/>
      <c r="C82" s="96"/>
      <c r="D82" s="64"/>
      <c r="E82" s="64"/>
      <c r="F82" s="64"/>
      <c r="G82" s="64"/>
      <c r="H82" s="64"/>
      <c r="I82" s="64"/>
      <c r="J82" s="64"/>
      <c r="K82" s="97"/>
      <c r="L82" s="64"/>
      <c r="M82" s="64"/>
      <c r="N82" s="64"/>
      <c r="O82" s="64"/>
      <c r="P82" s="64"/>
      <c r="Q82" s="98"/>
      <c r="R82" s="99"/>
      <c r="S82" s="100"/>
    </row>
    <row r="83" spans="1:21" ht="15" customHeight="1" x14ac:dyDescent="0.4">
      <c r="A83" s="297"/>
      <c r="C83" s="101" t="s">
        <v>153</v>
      </c>
      <c r="D83" s="68"/>
      <c r="E83" s="68"/>
      <c r="F83" s="68"/>
      <c r="G83" s="68"/>
      <c r="H83" s="68"/>
      <c r="I83" s="68"/>
      <c r="J83" s="68"/>
      <c r="K83" s="102"/>
      <c r="L83" s="68"/>
      <c r="M83" s="68"/>
      <c r="N83" s="68"/>
      <c r="O83" s="68"/>
      <c r="P83" s="68"/>
      <c r="Q83" s="120"/>
      <c r="R83" s="103"/>
      <c r="S83" s="104"/>
    </row>
    <row r="84" spans="1:21" ht="15" customHeight="1" x14ac:dyDescent="0.4">
      <c r="A84" s="297"/>
      <c r="C84" s="101" t="s">
        <v>155</v>
      </c>
      <c r="D84" s="68"/>
      <c r="E84" s="68">
        <f>開始BS!$D$24</f>
        <v>14175831146</v>
      </c>
      <c r="F84" s="105"/>
      <c r="G84" s="105"/>
      <c r="H84" s="105"/>
      <c r="I84" s="105"/>
      <c r="J84" s="105"/>
      <c r="K84" s="106"/>
      <c r="L84" s="105"/>
      <c r="M84" s="105"/>
      <c r="N84" s="105"/>
      <c r="O84" s="105"/>
      <c r="P84" s="105"/>
      <c r="Q84" s="107"/>
      <c r="R84" s="108"/>
      <c r="S84" s="109">
        <f>E84+NW内訳!D43+N84+L84</f>
        <v>14232095654</v>
      </c>
    </row>
    <row r="85" spans="1:21" ht="15" customHeight="1" x14ac:dyDescent="0.4">
      <c r="A85" s="297"/>
      <c r="C85" s="115" t="s">
        <v>157</v>
      </c>
      <c r="D85" s="70"/>
      <c r="E85" s="70">
        <f>開始BS!$D$25</f>
        <v>-5207501767</v>
      </c>
      <c r="F85" s="121"/>
      <c r="G85" s="121"/>
      <c r="H85" s="121"/>
      <c r="I85" s="121"/>
      <c r="J85" s="121"/>
      <c r="K85" s="122"/>
      <c r="L85" s="121"/>
      <c r="M85" s="121"/>
      <c r="N85" s="121"/>
      <c r="O85" s="121"/>
      <c r="P85" s="121"/>
      <c r="Q85" s="123"/>
      <c r="R85" s="124"/>
      <c r="S85" s="125">
        <f>E85+S136+NW内訳!E43+N85+L85</f>
        <v>-4968640539</v>
      </c>
    </row>
    <row r="86" spans="1:21" ht="15" customHeight="1" thickBot="1" x14ac:dyDescent="0.45">
      <c r="A86" s="297"/>
      <c r="C86" s="126" t="s">
        <v>182</v>
      </c>
      <c r="D86" s="127"/>
      <c r="E86" s="127">
        <f>SUM(E84:E85)</f>
        <v>8968329379</v>
      </c>
      <c r="F86" s="127">
        <f>SUM(F84:F85)</f>
        <v>0</v>
      </c>
      <c r="G86" s="127">
        <f t="shared" ref="G86:S86" si="19">SUM(G84:G85)</f>
        <v>0</v>
      </c>
      <c r="H86" s="127">
        <f t="shared" si="19"/>
        <v>0</v>
      </c>
      <c r="I86" s="127">
        <f t="shared" si="19"/>
        <v>0</v>
      </c>
      <c r="J86" s="127">
        <f t="shared" si="19"/>
        <v>0</v>
      </c>
      <c r="K86" s="128">
        <f t="shared" si="19"/>
        <v>0</v>
      </c>
      <c r="L86" s="128">
        <f t="shared" si="19"/>
        <v>0</v>
      </c>
      <c r="M86" s="128">
        <f t="shared" si="19"/>
        <v>0</v>
      </c>
      <c r="N86" s="128">
        <f>SUM(N84:N85)</f>
        <v>0</v>
      </c>
      <c r="O86" s="128">
        <f>SUM(O84:O85)</f>
        <v>0</v>
      </c>
      <c r="P86" s="128">
        <f t="shared" si="19"/>
        <v>0</v>
      </c>
      <c r="Q86" s="128">
        <f t="shared" si="19"/>
        <v>0</v>
      </c>
      <c r="R86" s="129"/>
      <c r="S86" s="130">
        <f t="shared" si="19"/>
        <v>9263455115</v>
      </c>
    </row>
    <row r="87" spans="1:21" ht="15" customHeight="1" thickTop="1" thickBot="1" x14ac:dyDescent="0.45">
      <c r="A87" s="297"/>
      <c r="C87" s="131"/>
      <c r="D87" s="132">
        <f>D63</f>
        <v>14532718748</v>
      </c>
      <c r="E87" s="132">
        <f>E86+E81</f>
        <v>14532718748</v>
      </c>
      <c r="F87" s="132">
        <f>F63</f>
        <v>5130802249</v>
      </c>
      <c r="G87" s="132">
        <f>G86+G81</f>
        <v>114688000</v>
      </c>
      <c r="H87" s="132">
        <f>H63</f>
        <v>307281663</v>
      </c>
      <c r="I87" s="132">
        <f>I86+I81</f>
        <v>0</v>
      </c>
      <c r="J87" s="132">
        <f>J63</f>
        <v>638824205</v>
      </c>
      <c r="K87" s="133">
        <f>K86+K81</f>
        <v>438988765</v>
      </c>
      <c r="L87" s="132">
        <f>L63</f>
        <v>0</v>
      </c>
      <c r="M87" s="133">
        <f>M86+M81</f>
        <v>0</v>
      </c>
      <c r="N87" s="132">
        <f>N63</f>
        <v>0</v>
      </c>
      <c r="O87" s="133">
        <f>O86+O81</f>
        <v>0</v>
      </c>
      <c r="P87" s="132">
        <f>P63</f>
        <v>0</v>
      </c>
      <c r="Q87" s="133">
        <f>Q86+Q81</f>
        <v>0</v>
      </c>
      <c r="R87" s="134">
        <f>R63</f>
        <v>14596822858</v>
      </c>
      <c r="S87" s="135">
        <f>S86+S81</f>
        <v>14596822858</v>
      </c>
      <c r="T87" s="359">
        <f>R87-S87</f>
        <v>0</v>
      </c>
      <c r="U87" s="89">
        <f>T87/2</f>
        <v>0</v>
      </c>
    </row>
    <row r="88" spans="1:21" ht="15" customHeight="1" x14ac:dyDescent="0.4">
      <c r="A88" s="297"/>
      <c r="C88" s="13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6"/>
      <c r="S88" s="136"/>
    </row>
    <row r="89" spans="1:21" ht="15" customHeight="1" thickBot="1" x14ac:dyDescent="0.45">
      <c r="A89" s="297"/>
      <c r="C89" s="90" t="s">
        <v>435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</row>
    <row r="90" spans="1:21" ht="15" customHeight="1" x14ac:dyDescent="0.4">
      <c r="A90" s="297"/>
      <c r="C90" s="387" t="s">
        <v>365</v>
      </c>
      <c r="D90" s="382" t="s">
        <v>421</v>
      </c>
      <c r="E90" s="383"/>
      <c r="F90" s="382" t="s">
        <v>422</v>
      </c>
      <c r="G90" s="383"/>
      <c r="H90" s="382" t="s">
        <v>231</v>
      </c>
      <c r="I90" s="383"/>
      <c r="J90" s="382" t="s">
        <v>423</v>
      </c>
      <c r="K90" s="389"/>
      <c r="L90" s="382" t="s">
        <v>424</v>
      </c>
      <c r="M90" s="383"/>
      <c r="N90" s="382"/>
      <c r="O90" s="383"/>
      <c r="P90" s="382" t="s">
        <v>425</v>
      </c>
      <c r="Q90" s="384"/>
      <c r="R90" s="385" t="s">
        <v>426</v>
      </c>
      <c r="S90" s="386"/>
    </row>
    <row r="91" spans="1:21" ht="15" customHeight="1" x14ac:dyDescent="0.4">
      <c r="A91" s="297"/>
      <c r="C91" s="388"/>
      <c r="D91" s="92" t="s">
        <v>234</v>
      </c>
      <c r="E91" s="92" t="s">
        <v>235</v>
      </c>
      <c r="F91" s="92" t="s">
        <v>234</v>
      </c>
      <c r="G91" s="92" t="s">
        <v>235</v>
      </c>
      <c r="H91" s="92" t="s">
        <v>234</v>
      </c>
      <c r="I91" s="92" t="s">
        <v>235</v>
      </c>
      <c r="J91" s="92" t="s">
        <v>234</v>
      </c>
      <c r="K91" s="93" t="s">
        <v>235</v>
      </c>
      <c r="L91" s="92" t="s">
        <v>234</v>
      </c>
      <c r="M91" s="93" t="s">
        <v>235</v>
      </c>
      <c r="N91" s="92" t="s">
        <v>234</v>
      </c>
      <c r="O91" s="93" t="s">
        <v>235</v>
      </c>
      <c r="P91" s="92" t="s">
        <v>234</v>
      </c>
      <c r="Q91" s="93" t="s">
        <v>235</v>
      </c>
      <c r="R91" s="94" t="s">
        <v>234</v>
      </c>
      <c r="S91" s="95" t="s">
        <v>235</v>
      </c>
    </row>
    <row r="92" spans="1:21" ht="15" customHeight="1" x14ac:dyDescent="0.4">
      <c r="A92" s="297"/>
      <c r="C92" s="96" t="s">
        <v>436</v>
      </c>
      <c r="D92" s="139"/>
      <c r="E92" s="139"/>
      <c r="F92" s="64">
        <f>F93+F108</f>
        <v>0</v>
      </c>
      <c r="G92" s="64">
        <f t="shared" ref="G92:R92" si="20">G93+G108</f>
        <v>0</v>
      </c>
      <c r="H92" s="64">
        <f t="shared" si="20"/>
        <v>4230919286</v>
      </c>
      <c r="I92" s="64">
        <f t="shared" si="20"/>
        <v>0</v>
      </c>
      <c r="J92" s="64">
        <f t="shared" si="20"/>
        <v>538988470</v>
      </c>
      <c r="K92" s="97">
        <f t="shared" si="20"/>
        <v>0</v>
      </c>
      <c r="L92" s="64">
        <f t="shared" si="20"/>
        <v>0</v>
      </c>
      <c r="M92" s="97">
        <f t="shared" si="20"/>
        <v>0</v>
      </c>
      <c r="N92" s="64">
        <f>N93+N108</f>
        <v>0</v>
      </c>
      <c r="O92" s="97">
        <f>O93+O108</f>
        <v>0</v>
      </c>
      <c r="P92" s="64">
        <f t="shared" si="20"/>
        <v>0</v>
      </c>
      <c r="Q92" s="97">
        <f t="shared" si="20"/>
        <v>0</v>
      </c>
      <c r="R92" s="99">
        <f t="shared" si="20"/>
        <v>4769907756</v>
      </c>
      <c r="S92" s="100"/>
    </row>
    <row r="93" spans="1:21" ht="15" customHeight="1" x14ac:dyDescent="0.4">
      <c r="A93" s="297"/>
      <c r="C93" s="101" t="s">
        <v>437</v>
      </c>
      <c r="D93" s="140"/>
      <c r="E93" s="140"/>
      <c r="F93" s="68">
        <f>F94+F99+F104</f>
        <v>0</v>
      </c>
      <c r="G93" s="68">
        <f t="shared" ref="G93:R93" si="21">G94+G99+G104</f>
        <v>0</v>
      </c>
      <c r="H93" s="68">
        <f t="shared" si="21"/>
        <v>2071725836</v>
      </c>
      <c r="I93" s="68">
        <f t="shared" si="21"/>
        <v>0</v>
      </c>
      <c r="J93" s="68">
        <f t="shared" si="21"/>
        <v>538988470</v>
      </c>
      <c r="K93" s="102">
        <f t="shared" si="21"/>
        <v>0</v>
      </c>
      <c r="L93" s="68">
        <f t="shared" si="21"/>
        <v>0</v>
      </c>
      <c r="M93" s="102">
        <f t="shared" si="21"/>
        <v>0</v>
      </c>
      <c r="N93" s="68">
        <f>N94+N99+N104</f>
        <v>0</v>
      </c>
      <c r="O93" s="102">
        <f>O94+O99+O104</f>
        <v>0</v>
      </c>
      <c r="P93" s="68">
        <f t="shared" si="21"/>
        <v>0</v>
      </c>
      <c r="Q93" s="102">
        <f t="shared" si="21"/>
        <v>0</v>
      </c>
      <c r="R93" s="103">
        <f t="shared" si="21"/>
        <v>2610714306</v>
      </c>
      <c r="S93" s="104"/>
    </row>
    <row r="94" spans="1:21" ht="15" customHeight="1" x14ac:dyDescent="0.4">
      <c r="A94" s="297"/>
      <c r="C94" s="101" t="s">
        <v>438</v>
      </c>
      <c r="D94" s="140"/>
      <c r="E94" s="140"/>
      <c r="F94" s="68">
        <f>SUM(F95:F98)</f>
        <v>0</v>
      </c>
      <c r="G94" s="68">
        <f t="shared" ref="G94:R94" si="22">SUM(G95:G98)</f>
        <v>0</v>
      </c>
      <c r="H94" s="68">
        <f t="shared" si="22"/>
        <v>1123561585</v>
      </c>
      <c r="I94" s="68">
        <f t="shared" si="22"/>
        <v>0</v>
      </c>
      <c r="J94" s="68">
        <f t="shared" si="22"/>
        <v>30406689</v>
      </c>
      <c r="K94" s="102">
        <f t="shared" si="22"/>
        <v>0</v>
      </c>
      <c r="L94" s="68">
        <f t="shared" si="22"/>
        <v>0</v>
      </c>
      <c r="M94" s="102">
        <f t="shared" si="22"/>
        <v>0</v>
      </c>
      <c r="N94" s="68">
        <f>SUM(N95:N98)</f>
        <v>0</v>
      </c>
      <c r="O94" s="102">
        <f>SUM(O95:O98)</f>
        <v>0</v>
      </c>
      <c r="P94" s="68">
        <f t="shared" si="22"/>
        <v>0</v>
      </c>
      <c r="Q94" s="102">
        <f t="shared" si="22"/>
        <v>0</v>
      </c>
      <c r="R94" s="103">
        <f t="shared" si="22"/>
        <v>1153968274</v>
      </c>
      <c r="S94" s="104"/>
    </row>
    <row r="95" spans="1:21" ht="15" customHeight="1" x14ac:dyDescent="0.4">
      <c r="A95" s="297" t="s">
        <v>57</v>
      </c>
      <c r="C95" s="101" t="s">
        <v>439</v>
      </c>
      <c r="D95" s="140"/>
      <c r="E95" s="140"/>
      <c r="F95" s="105">
        <f>SUMIF(歳入!I:I,精算表!A95,歳入!K:K)</f>
        <v>0</v>
      </c>
      <c r="G95" s="105">
        <f>SUMIF(歳入!J:J,精算表!A95,歳入!K:K)</f>
        <v>0</v>
      </c>
      <c r="H95" s="105">
        <f>SUMIF(歳出!H:H,精算表!A95,歳出!J:J)</f>
        <v>1022863791</v>
      </c>
      <c r="I95" s="105">
        <f>SUMIF(歳出!I:I,精算表!A95,歳出!J:J)</f>
        <v>0</v>
      </c>
      <c r="J95" s="105">
        <f>SUMIF(決算整理!C:C,精算表!A95,決算整理!E:E)</f>
        <v>0</v>
      </c>
      <c r="K95" s="106">
        <f>SUMIF(決算整理!D:D,精算表!A95,決算整理!E:E)</f>
        <v>0</v>
      </c>
      <c r="L95" s="105"/>
      <c r="M95" s="105"/>
      <c r="N95" s="105"/>
      <c r="O95" s="105"/>
      <c r="P95" s="105">
        <f>SUMIF(相殺仕訳!J:J,精算表!A95,相殺仕訳!L:L)</f>
        <v>0</v>
      </c>
      <c r="Q95" s="107">
        <f>SUMIF(相殺仕訳!K:K,精算表!A95,相殺仕訳!L:L)</f>
        <v>0</v>
      </c>
      <c r="R95" s="108">
        <f>D95+F95-G95+H95-I95+J95-K95+L95-M95+N95-O95+P95-Q95</f>
        <v>1022863791</v>
      </c>
      <c r="S95" s="109"/>
    </row>
    <row r="96" spans="1:21" ht="15" customHeight="1" x14ac:dyDescent="0.4">
      <c r="A96" s="297" t="s">
        <v>58</v>
      </c>
      <c r="C96" s="101" t="s">
        <v>440</v>
      </c>
      <c r="D96" s="140"/>
      <c r="E96" s="140"/>
      <c r="F96" s="105">
        <f>SUMIF(歳入!I:I,精算表!A96,歳入!K:K)</f>
        <v>0</v>
      </c>
      <c r="G96" s="105">
        <f>SUMIF(歳入!J:J,精算表!A96,歳入!K:K)</f>
        <v>0</v>
      </c>
      <c r="H96" s="105">
        <f>SUMIF(歳出!H:H,精算表!A96,歳出!J:J)</f>
        <v>0</v>
      </c>
      <c r="I96" s="105">
        <f>SUMIF(歳出!I:I,精算表!A96,歳出!J:J)</f>
        <v>0</v>
      </c>
      <c r="J96" s="105">
        <f>SUMIF(決算整理!C:C,精算表!A96,決算整理!E:E)</f>
        <v>30406689</v>
      </c>
      <c r="K96" s="106">
        <f>SUMIF(決算整理!D:D,精算表!A96,決算整理!E:E)</f>
        <v>0</v>
      </c>
      <c r="L96" s="105"/>
      <c r="M96" s="105"/>
      <c r="N96" s="105"/>
      <c r="O96" s="105"/>
      <c r="P96" s="105">
        <f>SUMIF(相殺仕訳!J:J,精算表!A96,相殺仕訳!L:L)</f>
        <v>0</v>
      </c>
      <c r="Q96" s="107">
        <f>SUMIF(相殺仕訳!K:K,精算表!A96,相殺仕訳!L:L)</f>
        <v>0</v>
      </c>
      <c r="R96" s="108">
        <f>D96+F96-G96+H96-I96+J96-K96+L96-M96+N96-O96+P96-Q96</f>
        <v>30406689</v>
      </c>
      <c r="S96" s="109"/>
    </row>
    <row r="97" spans="1:19" ht="15" customHeight="1" x14ac:dyDescent="0.4">
      <c r="A97" s="297" t="s">
        <v>59</v>
      </c>
      <c r="C97" s="101" t="s">
        <v>441</v>
      </c>
      <c r="D97" s="140"/>
      <c r="E97" s="140"/>
      <c r="F97" s="105">
        <f>SUMIF(歳入!I:I,精算表!A97,歳入!K:K)</f>
        <v>0</v>
      </c>
      <c r="G97" s="105">
        <f>SUMIF(歳入!J:J,精算表!A97,歳入!K:K)</f>
        <v>0</v>
      </c>
      <c r="H97" s="105">
        <f>SUMIF(歳出!H:H,精算表!A97,歳出!J:J)</f>
        <v>0</v>
      </c>
      <c r="I97" s="105">
        <f>SUMIF(歳出!I:I,精算表!A97,歳出!J:J)</f>
        <v>0</v>
      </c>
      <c r="J97" s="105">
        <f>SUMIF(決算整理!C:C,精算表!A97,決算整理!E:E)</f>
        <v>0</v>
      </c>
      <c r="K97" s="106">
        <f>SUMIF(決算整理!D:D,精算表!A97,決算整理!E:E)</f>
        <v>0</v>
      </c>
      <c r="L97" s="105"/>
      <c r="M97" s="105"/>
      <c r="N97" s="105"/>
      <c r="O97" s="105"/>
      <c r="P97" s="105">
        <f>SUMIF(相殺仕訳!J:J,精算表!A97,相殺仕訳!L:L)</f>
        <v>0</v>
      </c>
      <c r="Q97" s="107">
        <f>SUMIF(相殺仕訳!K:K,精算表!A97,相殺仕訳!L:L)</f>
        <v>0</v>
      </c>
      <c r="R97" s="108">
        <f>D97+F97-G97+H97-I97+J97-K97+L97-M97+N97-O97+P97-Q97</f>
        <v>0</v>
      </c>
      <c r="S97" s="109"/>
    </row>
    <row r="98" spans="1:19" ht="15" customHeight="1" x14ac:dyDescent="0.4">
      <c r="A98" s="297" t="s">
        <v>60</v>
      </c>
      <c r="C98" s="101" t="s">
        <v>150</v>
      </c>
      <c r="D98" s="140"/>
      <c r="E98" s="140"/>
      <c r="F98" s="105">
        <f>SUMIF(歳入!I:I,精算表!A98,歳入!K:K)</f>
        <v>0</v>
      </c>
      <c r="G98" s="105">
        <f>SUMIF(歳入!J:J,精算表!A98,歳入!K:K)</f>
        <v>0</v>
      </c>
      <c r="H98" s="105">
        <f>SUMIF(歳出!H:H,精算表!A98,歳出!J:J)</f>
        <v>100697794</v>
      </c>
      <c r="I98" s="105">
        <f>SUMIF(歳出!I:I,精算表!A98,歳出!J:J)</f>
        <v>0</v>
      </c>
      <c r="J98" s="105">
        <f>SUMIF(決算整理!C:C,精算表!A98,決算整理!E:E)</f>
        <v>0</v>
      </c>
      <c r="K98" s="106">
        <f>SUMIF(決算整理!D:D,精算表!A98,決算整理!E:E)</f>
        <v>0</v>
      </c>
      <c r="L98" s="105"/>
      <c r="M98" s="105"/>
      <c r="N98" s="105">
        <v>0</v>
      </c>
      <c r="O98" s="105"/>
      <c r="P98" s="105">
        <f>SUMIF(相殺仕訳!J:J,精算表!A98,相殺仕訳!L:L)</f>
        <v>0</v>
      </c>
      <c r="Q98" s="107">
        <f>SUMIF(相殺仕訳!K:K,精算表!A98,相殺仕訳!L:L)</f>
        <v>0</v>
      </c>
      <c r="R98" s="108">
        <f>D98+F98-G98+H98-I98+J98-K98+L98-M98+N98-O98+P98-Q98</f>
        <v>100697794</v>
      </c>
      <c r="S98" s="109"/>
    </row>
    <row r="99" spans="1:19" ht="15" customHeight="1" x14ac:dyDescent="0.4">
      <c r="A99" s="297"/>
      <c r="C99" s="101" t="s">
        <v>442</v>
      </c>
      <c r="D99" s="140"/>
      <c r="E99" s="140"/>
      <c r="F99" s="68">
        <f>SUM(F100:F103)</f>
        <v>0</v>
      </c>
      <c r="G99" s="68">
        <f t="shared" ref="G99:R99" si="23">SUM(G100:G103)</f>
        <v>0</v>
      </c>
      <c r="H99" s="68">
        <f t="shared" si="23"/>
        <v>885954537</v>
      </c>
      <c r="I99" s="68">
        <f t="shared" si="23"/>
        <v>0</v>
      </c>
      <c r="J99" s="68">
        <f t="shared" si="23"/>
        <v>499867655</v>
      </c>
      <c r="K99" s="102">
        <f t="shared" si="23"/>
        <v>0</v>
      </c>
      <c r="L99" s="102">
        <f t="shared" si="23"/>
        <v>0</v>
      </c>
      <c r="M99" s="102">
        <f t="shared" si="23"/>
        <v>0</v>
      </c>
      <c r="N99" s="102">
        <f>SUM(N100:N103)</f>
        <v>0</v>
      </c>
      <c r="O99" s="102">
        <f>SUM(O100:O103)</f>
        <v>0</v>
      </c>
      <c r="P99" s="102">
        <f t="shared" si="23"/>
        <v>0</v>
      </c>
      <c r="Q99" s="102">
        <f t="shared" si="23"/>
        <v>0</v>
      </c>
      <c r="R99" s="103">
        <f t="shared" si="23"/>
        <v>1385822192</v>
      </c>
      <c r="S99" s="104"/>
    </row>
    <row r="100" spans="1:19" ht="15" customHeight="1" x14ac:dyDescent="0.4">
      <c r="A100" s="297" t="s">
        <v>61</v>
      </c>
      <c r="C100" s="101" t="s">
        <v>443</v>
      </c>
      <c r="D100" s="140"/>
      <c r="E100" s="140"/>
      <c r="F100" s="105">
        <f>SUMIF(歳入!I:I,精算表!A100,歳入!K:K)</f>
        <v>0</v>
      </c>
      <c r="G100" s="105">
        <f>SUMIF(歳入!J:J,精算表!A100,歳入!K:K)</f>
        <v>0</v>
      </c>
      <c r="H100" s="105">
        <f>SUMIF(歳出!H:H,精算表!A100,歳出!J:J)</f>
        <v>857611249</v>
      </c>
      <c r="I100" s="105">
        <f>SUMIF(歳出!I:I,精算表!A100,歳出!J:J)</f>
        <v>0</v>
      </c>
      <c r="J100" s="105">
        <f>SUMIF(決算整理!C:C,精算表!A100,決算整理!E:E)</f>
        <v>0</v>
      </c>
      <c r="K100" s="106">
        <f>SUMIF(決算整理!D:D,精算表!A100,決算整理!E:E)</f>
        <v>0</v>
      </c>
      <c r="L100" s="105"/>
      <c r="M100" s="105"/>
      <c r="N100" s="105"/>
      <c r="O100" s="105"/>
      <c r="P100" s="105">
        <f>SUMIF(相殺仕訳!J:J,精算表!A100,相殺仕訳!L:L)</f>
        <v>0</v>
      </c>
      <c r="Q100" s="107">
        <f>SUMIF(相殺仕訳!K:K,精算表!A100,相殺仕訳!L:L)</f>
        <v>0</v>
      </c>
      <c r="R100" s="108">
        <f>D100+F100-G100+H100-I100+J100-K100+L100-M100+N100-O100+P100-Q100</f>
        <v>857611249</v>
      </c>
      <c r="S100" s="109"/>
    </row>
    <row r="101" spans="1:19" ht="15" customHeight="1" x14ac:dyDescent="0.4">
      <c r="A101" s="297" t="s">
        <v>62</v>
      </c>
      <c r="C101" s="101" t="s">
        <v>444</v>
      </c>
      <c r="D101" s="140"/>
      <c r="E101" s="140"/>
      <c r="F101" s="105">
        <f>SUMIF(歳入!I:I,精算表!A101,歳入!K:K)</f>
        <v>0</v>
      </c>
      <c r="G101" s="105">
        <f>SUMIF(歳入!J:J,精算表!A101,歳入!K:K)</f>
        <v>0</v>
      </c>
      <c r="H101" s="105">
        <f>SUMIF(歳出!H:H,精算表!A101,歳出!J:J)</f>
        <v>28343288</v>
      </c>
      <c r="I101" s="105">
        <f>SUMIF(歳出!I:I,精算表!A101,歳出!J:J)</f>
        <v>0</v>
      </c>
      <c r="J101" s="105">
        <f>SUMIF(決算整理!C:C,精算表!A101,決算整理!E:E)</f>
        <v>0</v>
      </c>
      <c r="K101" s="106">
        <f>SUMIF(決算整理!D:D,精算表!A101,決算整理!E:E)</f>
        <v>0</v>
      </c>
      <c r="L101" s="105"/>
      <c r="M101" s="105"/>
      <c r="N101" s="105"/>
      <c r="O101" s="105"/>
      <c r="P101" s="105">
        <f>SUMIF(相殺仕訳!J:J,精算表!A101,相殺仕訳!L:L)</f>
        <v>0</v>
      </c>
      <c r="Q101" s="107">
        <f>SUMIF(相殺仕訳!K:K,精算表!A101,相殺仕訳!L:L)</f>
        <v>0</v>
      </c>
      <c r="R101" s="108">
        <f>D101+F101-G101+H101-I101+J101-K101+L101-M101+N101-O101+P101-Q101</f>
        <v>28343288</v>
      </c>
      <c r="S101" s="109"/>
    </row>
    <row r="102" spans="1:19" ht="15" customHeight="1" x14ac:dyDescent="0.4">
      <c r="A102" s="297" t="s">
        <v>63</v>
      </c>
      <c r="C102" s="101" t="s">
        <v>445</v>
      </c>
      <c r="D102" s="140"/>
      <c r="E102" s="140"/>
      <c r="F102" s="105">
        <f>SUMIF(歳入!I:I,精算表!A102,歳入!K:K)</f>
        <v>0</v>
      </c>
      <c r="G102" s="105">
        <f>SUMIF(歳入!J:J,精算表!A102,歳入!K:K)</f>
        <v>0</v>
      </c>
      <c r="H102" s="105">
        <f>SUMIF(歳出!H:H,精算表!A102,歳出!J:J)</f>
        <v>0</v>
      </c>
      <c r="I102" s="105">
        <f>SUMIF(歳出!I:I,精算表!A102,歳出!J:J)</f>
        <v>0</v>
      </c>
      <c r="J102" s="105">
        <f>SUMIF(決算整理!C:C,精算表!A102,決算整理!E:E)</f>
        <v>499867655</v>
      </c>
      <c r="K102" s="106">
        <f>SUMIF(決算整理!D:D,精算表!A102,決算整理!E:E)</f>
        <v>0</v>
      </c>
      <c r="L102" s="105"/>
      <c r="M102" s="105"/>
      <c r="N102" s="105"/>
      <c r="O102" s="105"/>
      <c r="P102" s="105">
        <f>SUMIF(相殺仕訳!J:J,精算表!A102,相殺仕訳!L:L)</f>
        <v>0</v>
      </c>
      <c r="Q102" s="107">
        <f>SUMIF(相殺仕訳!K:K,精算表!A102,相殺仕訳!L:L)</f>
        <v>0</v>
      </c>
      <c r="R102" s="108">
        <f>D102+F102-G102+H102-I102+J102-K102+L102-M102+N102-O102+P102-Q102</f>
        <v>499867655</v>
      </c>
      <c r="S102" s="109"/>
    </row>
    <row r="103" spans="1:19" ht="15" customHeight="1" x14ac:dyDescent="0.4">
      <c r="A103" s="297" t="s">
        <v>64</v>
      </c>
      <c r="C103" s="101" t="s">
        <v>150</v>
      </c>
      <c r="D103" s="140"/>
      <c r="E103" s="140"/>
      <c r="F103" s="105">
        <f>SUMIF(歳入!I:I,精算表!A103,歳入!K:K)</f>
        <v>0</v>
      </c>
      <c r="G103" s="105">
        <f>SUMIF(歳入!J:J,精算表!A103,歳入!K:K)</f>
        <v>0</v>
      </c>
      <c r="H103" s="105">
        <f>SUMIF(歳出!H:H,精算表!A103,歳出!J:J)</f>
        <v>0</v>
      </c>
      <c r="I103" s="105">
        <f>SUMIF(歳出!I:I,精算表!A103,歳出!J:J)</f>
        <v>0</v>
      </c>
      <c r="J103" s="105">
        <f>SUMIF(決算整理!C:C,精算表!A103,決算整理!E:E)</f>
        <v>0</v>
      </c>
      <c r="K103" s="106">
        <f>SUMIF(決算整理!D:D,精算表!A103,決算整理!E:E)</f>
        <v>0</v>
      </c>
      <c r="L103" s="105"/>
      <c r="M103" s="105"/>
      <c r="N103" s="105"/>
      <c r="O103" s="105"/>
      <c r="P103" s="105">
        <f>SUMIF(相殺仕訳!J:J,精算表!A103,相殺仕訳!L:L)</f>
        <v>0</v>
      </c>
      <c r="Q103" s="107">
        <f>SUMIF(相殺仕訳!K:K,精算表!A103,相殺仕訳!L:L)</f>
        <v>0</v>
      </c>
      <c r="R103" s="108">
        <f>D103+F103-G103+H103-I103+J103-K103+L103-M103+N103-O103+P103-Q103</f>
        <v>0</v>
      </c>
      <c r="S103" s="109"/>
    </row>
    <row r="104" spans="1:19" ht="15" customHeight="1" x14ac:dyDescent="0.4">
      <c r="A104" s="297"/>
      <c r="C104" s="101" t="s">
        <v>446</v>
      </c>
      <c r="D104" s="140"/>
      <c r="E104" s="140"/>
      <c r="F104" s="68">
        <f>SUM(F105:F107)</f>
        <v>0</v>
      </c>
      <c r="G104" s="68">
        <f t="shared" ref="G104:R104" si="24">SUM(G105:G107)</f>
        <v>0</v>
      </c>
      <c r="H104" s="68">
        <f t="shared" si="24"/>
        <v>62209714</v>
      </c>
      <c r="I104" s="68">
        <f t="shared" si="24"/>
        <v>0</v>
      </c>
      <c r="J104" s="68">
        <f t="shared" si="24"/>
        <v>8714126</v>
      </c>
      <c r="K104" s="102">
        <f t="shared" si="24"/>
        <v>0</v>
      </c>
      <c r="L104" s="68">
        <f t="shared" si="24"/>
        <v>0</v>
      </c>
      <c r="M104" s="102">
        <f t="shared" si="24"/>
        <v>0</v>
      </c>
      <c r="N104" s="68">
        <f>SUM(N105:N107)</f>
        <v>0</v>
      </c>
      <c r="O104" s="102">
        <f>SUM(O105:O107)</f>
        <v>0</v>
      </c>
      <c r="P104" s="68">
        <f t="shared" si="24"/>
        <v>0</v>
      </c>
      <c r="Q104" s="102">
        <f t="shared" si="24"/>
        <v>0</v>
      </c>
      <c r="R104" s="103">
        <f t="shared" si="24"/>
        <v>70923840</v>
      </c>
      <c r="S104" s="104"/>
    </row>
    <row r="105" spans="1:19" ht="15" customHeight="1" x14ac:dyDescent="0.4">
      <c r="A105" s="297" t="s">
        <v>65</v>
      </c>
      <c r="C105" s="101" t="s">
        <v>447</v>
      </c>
      <c r="D105" s="140"/>
      <c r="E105" s="140"/>
      <c r="F105" s="105">
        <f>SUMIF(歳入!I:I,精算表!A105,歳入!K:K)</f>
        <v>0</v>
      </c>
      <c r="G105" s="105">
        <f>SUMIF(歳入!J:J,精算表!A105,歳入!K:K)</f>
        <v>0</v>
      </c>
      <c r="H105" s="105">
        <f>SUMIF(歳出!H:H,精算表!A105,歳出!J:J)</f>
        <v>13930964</v>
      </c>
      <c r="I105" s="105">
        <f>SUMIF(歳出!I:I,精算表!A105,歳出!J:J)</f>
        <v>0</v>
      </c>
      <c r="J105" s="105">
        <f>SUMIF(決算整理!C:C,精算表!A105,決算整理!E:E)</f>
        <v>0</v>
      </c>
      <c r="K105" s="106">
        <f>SUMIF(決算整理!D:D,精算表!A105,決算整理!E:E)</f>
        <v>0</v>
      </c>
      <c r="L105" s="105"/>
      <c r="M105" s="105"/>
      <c r="N105" s="105"/>
      <c r="O105" s="105"/>
      <c r="P105" s="105">
        <f>SUMIF(相殺仕訳!J:J,精算表!A105,相殺仕訳!L:L)</f>
        <v>0</v>
      </c>
      <c r="Q105" s="107">
        <f>SUMIF(相殺仕訳!K:K,精算表!A105,相殺仕訳!L:L)</f>
        <v>0</v>
      </c>
      <c r="R105" s="108">
        <f>D105+F105-G105+H105-I105+J105-K105+L105-M105+N105-O105+P105-Q105</f>
        <v>13930964</v>
      </c>
      <c r="S105" s="109"/>
    </row>
    <row r="106" spans="1:19" ht="15" customHeight="1" x14ac:dyDescent="0.4">
      <c r="A106" s="297" t="s">
        <v>66</v>
      </c>
      <c r="C106" s="101" t="s">
        <v>448</v>
      </c>
      <c r="D106" s="140"/>
      <c r="E106" s="140"/>
      <c r="F106" s="105">
        <f>SUMIF(歳入!I:I,精算表!A106,歳入!K:K)</f>
        <v>0</v>
      </c>
      <c r="G106" s="105">
        <f>SUMIF(歳入!J:J,精算表!A106,歳入!K:K)</f>
        <v>0</v>
      </c>
      <c r="H106" s="105">
        <f>SUMIF(歳出!H:H,精算表!A106,歳出!J:J)</f>
        <v>0</v>
      </c>
      <c r="I106" s="105">
        <f>SUMIF(歳出!I:I,精算表!A106,歳出!J:J)</f>
        <v>0</v>
      </c>
      <c r="J106" s="105">
        <f>SUMIF(決算整理!C:C,精算表!A106,決算整理!E:E)</f>
        <v>5999134</v>
      </c>
      <c r="K106" s="106">
        <f>SUMIF(決算整理!D:D,精算表!A106,決算整理!E:E)</f>
        <v>0</v>
      </c>
      <c r="L106" s="105"/>
      <c r="M106" s="105"/>
      <c r="N106" s="105"/>
      <c r="O106" s="105"/>
      <c r="P106" s="105">
        <f>SUMIF(相殺仕訳!J:J,精算表!A106,相殺仕訳!L:L)</f>
        <v>0</v>
      </c>
      <c r="Q106" s="107">
        <f>SUMIF(相殺仕訳!K:K,精算表!A106,相殺仕訳!L:L)</f>
        <v>0</v>
      </c>
      <c r="R106" s="108">
        <f>D106+F106-G106+H106-I106+J106-K106+L106-M106+N106-O106+P106-Q106</f>
        <v>5999134</v>
      </c>
      <c r="S106" s="109"/>
    </row>
    <row r="107" spans="1:19" ht="15" customHeight="1" x14ac:dyDescent="0.4">
      <c r="A107" s="297" t="s">
        <v>67</v>
      </c>
      <c r="C107" s="101" t="s">
        <v>150</v>
      </c>
      <c r="D107" s="140"/>
      <c r="E107" s="140"/>
      <c r="F107" s="105">
        <f>SUMIF(歳入!I:I,精算表!A107,歳入!K:K)</f>
        <v>0</v>
      </c>
      <c r="G107" s="105">
        <f>SUMIF(歳入!J:J,精算表!A107,歳入!K:K)</f>
        <v>0</v>
      </c>
      <c r="H107" s="105">
        <f>SUMIF(歳出!H:H,精算表!A107,歳出!J:J)</f>
        <v>48278750</v>
      </c>
      <c r="I107" s="105">
        <f>SUMIF(歳出!I:I,精算表!A107,歳出!J:J)</f>
        <v>0</v>
      </c>
      <c r="J107" s="105">
        <f>SUMIF(決算整理!C:C,精算表!A107,決算整理!E:E)</f>
        <v>2714992</v>
      </c>
      <c r="K107" s="106">
        <f>SUMIF(決算整理!D:D,精算表!A107,決算整理!E:E)</f>
        <v>0</v>
      </c>
      <c r="L107" s="105"/>
      <c r="M107" s="105"/>
      <c r="N107" s="105"/>
      <c r="O107" s="105"/>
      <c r="P107" s="105">
        <f>SUMIF(相殺仕訳!J:J,精算表!A107,相殺仕訳!L:L)</f>
        <v>0</v>
      </c>
      <c r="Q107" s="107">
        <f>SUMIF(相殺仕訳!K:K,精算表!A107,相殺仕訳!L:L)</f>
        <v>0</v>
      </c>
      <c r="R107" s="108">
        <f>D107+F107-G107+H107-I107+J107-K107+L107-M107+N107-O107+P107-Q107</f>
        <v>50993742</v>
      </c>
      <c r="S107" s="109"/>
    </row>
    <row r="108" spans="1:19" ht="15" customHeight="1" x14ac:dyDescent="0.4">
      <c r="A108" s="297"/>
      <c r="C108" s="101" t="s">
        <v>449</v>
      </c>
      <c r="D108" s="140"/>
      <c r="E108" s="140"/>
      <c r="F108" s="68">
        <f>SUM(F109:F112)</f>
        <v>0</v>
      </c>
      <c r="G108" s="68">
        <f t="shared" ref="G108:R108" si="25">SUM(G109:G112)</f>
        <v>0</v>
      </c>
      <c r="H108" s="68">
        <f t="shared" si="25"/>
        <v>2159193450</v>
      </c>
      <c r="I108" s="68">
        <f t="shared" si="25"/>
        <v>0</v>
      </c>
      <c r="J108" s="68">
        <f t="shared" si="25"/>
        <v>0</v>
      </c>
      <c r="K108" s="102">
        <f t="shared" si="25"/>
        <v>0</v>
      </c>
      <c r="L108" s="68">
        <f t="shared" si="25"/>
        <v>0</v>
      </c>
      <c r="M108" s="102">
        <f t="shared" si="25"/>
        <v>0</v>
      </c>
      <c r="N108" s="68">
        <f>SUM(N109:N112)</f>
        <v>0</v>
      </c>
      <c r="O108" s="102">
        <f>SUM(O109:O112)</f>
        <v>0</v>
      </c>
      <c r="P108" s="68">
        <f t="shared" si="25"/>
        <v>0</v>
      </c>
      <c r="Q108" s="102">
        <f t="shared" si="25"/>
        <v>0</v>
      </c>
      <c r="R108" s="103">
        <f t="shared" si="25"/>
        <v>2159193450</v>
      </c>
      <c r="S108" s="104"/>
    </row>
    <row r="109" spans="1:19" ht="15" customHeight="1" x14ac:dyDescent="0.4">
      <c r="A109" s="297" t="s">
        <v>68</v>
      </c>
      <c r="C109" s="101" t="s">
        <v>450</v>
      </c>
      <c r="D109" s="140"/>
      <c r="E109" s="140"/>
      <c r="F109" s="105">
        <f>SUMIF(歳入!I:I,精算表!A109,歳入!K:K)</f>
        <v>0</v>
      </c>
      <c r="G109" s="105">
        <f>SUMIF(歳入!J:J,精算表!A109,歳入!K:K)</f>
        <v>0</v>
      </c>
      <c r="H109" s="105">
        <f>SUMIF(歳出!H:H,精算表!A109,歳出!J:J)</f>
        <v>1224815066</v>
      </c>
      <c r="I109" s="105">
        <f>SUMIF(歳出!I:I,精算表!A109,歳出!J:J)</f>
        <v>0</v>
      </c>
      <c r="J109" s="105">
        <f>SUMIF(決算整理!C:C,精算表!A109,決算整理!E:E)</f>
        <v>0</v>
      </c>
      <c r="K109" s="106">
        <f>SUMIF(決算整理!D:D,精算表!A109,決算整理!E:E)</f>
        <v>0</v>
      </c>
      <c r="L109" s="105"/>
      <c r="M109" s="105"/>
      <c r="N109" s="105"/>
      <c r="O109" s="105"/>
      <c r="P109" s="105">
        <f>SUMIF(相殺仕訳!J:J,精算表!A109,相殺仕訳!L:L)</f>
        <v>0</v>
      </c>
      <c r="Q109" s="107">
        <f>SUMIF(相殺仕訳!K:K,精算表!A109,相殺仕訳!L:L)</f>
        <v>0</v>
      </c>
      <c r="R109" s="108">
        <f>D109+F109-G109+H109-I109+J109-K109+L109-M109+N109-O109+P109-Q109</f>
        <v>1224815066</v>
      </c>
      <c r="S109" s="109"/>
    </row>
    <row r="110" spans="1:19" ht="15" customHeight="1" x14ac:dyDescent="0.4">
      <c r="A110" s="297" t="s">
        <v>69</v>
      </c>
      <c r="C110" s="101" t="s">
        <v>451</v>
      </c>
      <c r="D110" s="140"/>
      <c r="E110" s="140"/>
      <c r="F110" s="105">
        <f>SUMIF(歳入!I:I,精算表!A110,歳入!K:K)</f>
        <v>0</v>
      </c>
      <c r="G110" s="105">
        <f>SUMIF(歳入!J:J,精算表!A110,歳入!K:K)</f>
        <v>0</v>
      </c>
      <c r="H110" s="105">
        <f>SUMIF(歳出!H:H,精算表!A110,歳出!J:J)</f>
        <v>460155840</v>
      </c>
      <c r="I110" s="105">
        <f>SUMIF(歳出!I:I,精算表!A110,歳出!J:J)</f>
        <v>0</v>
      </c>
      <c r="J110" s="105">
        <f>SUMIF(決算整理!C:C,精算表!A110,決算整理!E:E)</f>
        <v>0</v>
      </c>
      <c r="K110" s="106">
        <f>SUMIF(決算整理!D:D,精算表!A110,決算整理!E:E)</f>
        <v>0</v>
      </c>
      <c r="L110" s="105"/>
      <c r="M110" s="105"/>
      <c r="N110" s="105"/>
      <c r="O110" s="105"/>
      <c r="P110" s="105">
        <f>SUMIF(相殺仕訳!J:J,精算表!A110,相殺仕訳!L:L)</f>
        <v>0</v>
      </c>
      <c r="Q110" s="107">
        <f>SUMIF(相殺仕訳!K:K,精算表!A110,相殺仕訳!L:L)</f>
        <v>0</v>
      </c>
      <c r="R110" s="108">
        <f>D110+F110-G110+H110-I110+J110-K110+L110-M110+N110-O110+P110-Q110</f>
        <v>460155840</v>
      </c>
      <c r="S110" s="109"/>
    </row>
    <row r="111" spans="1:19" ht="15" customHeight="1" x14ac:dyDescent="0.4">
      <c r="A111" s="297" t="s">
        <v>70</v>
      </c>
      <c r="C111" s="101" t="s">
        <v>452</v>
      </c>
      <c r="D111" s="140"/>
      <c r="E111" s="140"/>
      <c r="F111" s="105">
        <f>SUMIF(歳入!I:I,精算表!A111,歳入!K:K)</f>
        <v>0</v>
      </c>
      <c r="G111" s="105">
        <f>SUMIF(歳入!J:J,精算表!A111,歳入!K:K)</f>
        <v>0</v>
      </c>
      <c r="H111" s="105">
        <f>SUMIF(歳出!H:H,精算表!A111,歳出!J:J)</f>
        <v>473845014</v>
      </c>
      <c r="I111" s="105">
        <f>SUMIF(歳出!I:I,精算表!A111,歳出!J:J)</f>
        <v>0</v>
      </c>
      <c r="J111" s="105">
        <f>SUMIF(決算整理!C:C,精算表!A111,決算整理!E:E)</f>
        <v>0</v>
      </c>
      <c r="K111" s="106">
        <f>SUMIF(決算整理!D:D,精算表!A111,決算整理!E:E)</f>
        <v>0</v>
      </c>
      <c r="L111" s="105"/>
      <c r="M111" s="105"/>
      <c r="N111" s="105"/>
      <c r="O111" s="105"/>
      <c r="P111" s="105">
        <f>SUMIF(相殺仕訳!J:J,精算表!A111,相殺仕訳!L:L)</f>
        <v>0</v>
      </c>
      <c r="Q111" s="107">
        <f>SUMIF(相殺仕訳!K:K,精算表!A111,相殺仕訳!L:L)</f>
        <v>0</v>
      </c>
      <c r="R111" s="108">
        <f>D111+F111-G111+H111-I111+J111-K111+L111-M111+N111-O111+P111-Q111</f>
        <v>473845014</v>
      </c>
      <c r="S111" s="109"/>
    </row>
    <row r="112" spans="1:19" ht="15" customHeight="1" x14ac:dyDescent="0.4">
      <c r="A112" s="297" t="s">
        <v>71</v>
      </c>
      <c r="C112" s="101" t="s">
        <v>162</v>
      </c>
      <c r="D112" s="140"/>
      <c r="E112" s="140"/>
      <c r="F112" s="105">
        <f>SUMIF(歳入!I:I,精算表!A112,歳入!K:K)</f>
        <v>0</v>
      </c>
      <c r="G112" s="105">
        <f>SUMIF(歳入!J:J,精算表!A112,歳入!K:K)</f>
        <v>0</v>
      </c>
      <c r="H112" s="105">
        <f>SUMIF(歳出!H:H,精算表!A112,歳出!J:J)</f>
        <v>377530</v>
      </c>
      <c r="I112" s="105">
        <f>SUMIF(歳出!I:I,精算表!A112,歳出!J:J)</f>
        <v>0</v>
      </c>
      <c r="J112" s="105">
        <f>SUMIF(決算整理!C:C,精算表!A112,決算整理!E:E)</f>
        <v>0</v>
      </c>
      <c r="K112" s="106">
        <f>SUMIF(決算整理!D:D,精算表!A112,決算整理!E:E)</f>
        <v>0</v>
      </c>
      <c r="L112" s="105"/>
      <c r="M112" s="105"/>
      <c r="N112" s="105"/>
      <c r="O112" s="105"/>
      <c r="P112" s="105">
        <f>SUMIF(相殺仕訳!J:J,精算表!A112,相殺仕訳!L:L)</f>
        <v>0</v>
      </c>
      <c r="Q112" s="107">
        <f>SUMIF(相殺仕訳!K:K,精算表!A112,相殺仕訳!L:L)</f>
        <v>0</v>
      </c>
      <c r="R112" s="108">
        <f>D112+F112-G112+H112-I112+J112-K112+L112-M112+N112-O112+P112-Q112</f>
        <v>377530</v>
      </c>
      <c r="S112" s="109"/>
    </row>
    <row r="113" spans="1:19" ht="15" customHeight="1" x14ac:dyDescent="0.4">
      <c r="A113" s="297"/>
      <c r="C113" s="101" t="s">
        <v>453</v>
      </c>
      <c r="D113" s="140"/>
      <c r="E113" s="140"/>
      <c r="F113" s="68">
        <f>SUM(F114:F115)</f>
        <v>0</v>
      </c>
      <c r="G113" s="68">
        <f t="shared" ref="G113:S113" si="26">SUM(G114:G115)</f>
        <v>140294093</v>
      </c>
      <c r="H113" s="68">
        <f t="shared" si="26"/>
        <v>0</v>
      </c>
      <c r="I113" s="68">
        <f t="shared" si="26"/>
        <v>0</v>
      </c>
      <c r="J113" s="68">
        <f t="shared" si="26"/>
        <v>0</v>
      </c>
      <c r="K113" s="102">
        <f t="shared" si="26"/>
        <v>78750100</v>
      </c>
      <c r="L113" s="68">
        <f t="shared" si="26"/>
        <v>0</v>
      </c>
      <c r="M113" s="102">
        <f t="shared" si="26"/>
        <v>0</v>
      </c>
      <c r="N113" s="68">
        <f>SUM(N114:N115)</f>
        <v>0</v>
      </c>
      <c r="O113" s="102">
        <f>SUM(O114:O115)</f>
        <v>0</v>
      </c>
      <c r="P113" s="68">
        <f t="shared" si="26"/>
        <v>0</v>
      </c>
      <c r="Q113" s="102">
        <f t="shared" si="26"/>
        <v>0</v>
      </c>
      <c r="R113" s="103"/>
      <c r="S113" s="104">
        <f t="shared" si="26"/>
        <v>219044193</v>
      </c>
    </row>
    <row r="114" spans="1:19" ht="15" customHeight="1" x14ac:dyDescent="0.4">
      <c r="A114" s="297" t="s">
        <v>72</v>
      </c>
      <c r="C114" s="101" t="s">
        <v>454</v>
      </c>
      <c r="D114" s="140"/>
      <c r="E114" s="140"/>
      <c r="F114" s="105">
        <f>SUMIF(歳入!I:I,精算表!A114,歳入!K:K)</f>
        <v>0</v>
      </c>
      <c r="G114" s="105">
        <f>SUMIF(歳入!J:J,精算表!A114,歳入!K:K)</f>
        <v>50410248</v>
      </c>
      <c r="H114" s="105">
        <f>SUMIF(歳出!H:H,精算表!A114,歳出!J:J)</f>
        <v>0</v>
      </c>
      <c r="I114" s="105">
        <f>SUMIF(歳出!I:I,精算表!A114,歳出!J:J)</f>
        <v>0</v>
      </c>
      <c r="J114" s="105">
        <f>SUMIF(決算整理!C:C,精算表!A114,決算整理!E:E)</f>
        <v>0</v>
      </c>
      <c r="K114" s="106">
        <f>SUMIF(決算整理!D:D,精算表!A114,決算整理!E:E)</f>
        <v>88800</v>
      </c>
      <c r="L114" s="105"/>
      <c r="M114" s="105"/>
      <c r="N114" s="105"/>
      <c r="O114" s="105"/>
      <c r="P114" s="105">
        <f>SUMIF(相殺仕訳!J:J,精算表!A114,相殺仕訳!L:L)</f>
        <v>0</v>
      </c>
      <c r="Q114" s="107">
        <f>SUMIF(相殺仕訳!K:K,精算表!A114,相殺仕訳!L:L)</f>
        <v>0</v>
      </c>
      <c r="R114" s="108"/>
      <c r="S114" s="109">
        <f>E114-F114+G114-H114+I114-J114+K114-L114+M114-N114+O114-P114+Q114</f>
        <v>50499048</v>
      </c>
    </row>
    <row r="115" spans="1:19" ht="15" customHeight="1" x14ac:dyDescent="0.4">
      <c r="A115" s="297" t="s">
        <v>73</v>
      </c>
      <c r="C115" s="141" t="s">
        <v>132</v>
      </c>
      <c r="D115" s="142"/>
      <c r="E115" s="142"/>
      <c r="F115" s="105">
        <f>SUMIF(歳入!I:I,精算表!A115,歳入!K:K)</f>
        <v>0</v>
      </c>
      <c r="G115" s="105">
        <f>SUMIF(歳入!J:J,精算表!A115,歳入!K:K)</f>
        <v>89883845</v>
      </c>
      <c r="H115" s="105">
        <f>SUMIF(歳出!H:H,精算表!A115,歳出!J:J)</f>
        <v>0</v>
      </c>
      <c r="I115" s="105">
        <f>SUMIF(歳出!I:I,精算表!A115,歳出!J:J)</f>
        <v>0</v>
      </c>
      <c r="J115" s="105">
        <f>SUMIF(決算整理!C:C,精算表!A115,決算整理!E:E)</f>
        <v>0</v>
      </c>
      <c r="K115" s="106">
        <f>SUMIF(決算整理!D:D,精算表!A115,決算整理!E:E)</f>
        <v>78661300</v>
      </c>
      <c r="L115" s="143"/>
      <c r="M115" s="143"/>
      <c r="N115" s="143"/>
      <c r="O115" s="143"/>
      <c r="P115" s="105">
        <f>SUMIF(相殺仕訳!J:J,精算表!A115,相殺仕訳!L:L)</f>
        <v>0</v>
      </c>
      <c r="Q115" s="107">
        <f>SUMIF(相殺仕訳!K:K,精算表!A115,相殺仕訳!L:L)</f>
        <v>0</v>
      </c>
      <c r="R115" s="144"/>
      <c r="S115" s="145">
        <f>E115-F115+G115-H115+I115-J115+K115-L115+M115-N115+O115-P115+Q115</f>
        <v>168545145</v>
      </c>
    </row>
    <row r="116" spans="1:19" ht="15" customHeight="1" x14ac:dyDescent="0.4">
      <c r="A116" s="297"/>
      <c r="C116" s="116" t="s">
        <v>455</v>
      </c>
      <c r="D116" s="146"/>
      <c r="E116" s="146"/>
      <c r="F116" s="71">
        <f t="shared" ref="F116:Q116" si="27">F92-F113</f>
        <v>0</v>
      </c>
      <c r="G116" s="71">
        <f t="shared" si="27"/>
        <v>-140294093</v>
      </c>
      <c r="H116" s="71">
        <f t="shared" si="27"/>
        <v>4230919286</v>
      </c>
      <c r="I116" s="71">
        <f t="shared" si="27"/>
        <v>0</v>
      </c>
      <c r="J116" s="71">
        <f t="shared" si="27"/>
        <v>538988470</v>
      </c>
      <c r="K116" s="117">
        <f t="shared" si="27"/>
        <v>-78750100</v>
      </c>
      <c r="L116" s="71">
        <f t="shared" si="27"/>
        <v>0</v>
      </c>
      <c r="M116" s="117">
        <f t="shared" si="27"/>
        <v>0</v>
      </c>
      <c r="N116" s="71">
        <f>N92-N113</f>
        <v>0</v>
      </c>
      <c r="O116" s="117">
        <f>O92-O113</f>
        <v>0</v>
      </c>
      <c r="P116" s="71">
        <f t="shared" si="27"/>
        <v>0</v>
      </c>
      <c r="Q116" s="117">
        <f t="shared" si="27"/>
        <v>0</v>
      </c>
      <c r="R116" s="118">
        <f>IF(R92&gt;S113,R92-S113,"")</f>
        <v>4550863563</v>
      </c>
      <c r="S116" s="119" t="str">
        <f>IF(S113&gt;R92,S113-R92,"")</f>
        <v/>
      </c>
    </row>
    <row r="117" spans="1:19" ht="15" customHeight="1" x14ac:dyDescent="0.4">
      <c r="A117" s="297"/>
      <c r="C117" s="147" t="s">
        <v>456</v>
      </c>
      <c r="D117" s="148"/>
      <c r="E117" s="148"/>
      <c r="F117" s="149">
        <f>SUM(F118:F122)</f>
        <v>0</v>
      </c>
      <c r="G117" s="149">
        <f t="shared" ref="G117:R117" si="28">SUM(G118:G122)</f>
        <v>0</v>
      </c>
      <c r="H117" s="149">
        <f t="shared" si="28"/>
        <v>0</v>
      </c>
      <c r="I117" s="149">
        <f t="shared" si="28"/>
        <v>0</v>
      </c>
      <c r="J117" s="149">
        <f t="shared" si="28"/>
        <v>884086</v>
      </c>
      <c r="K117" s="150">
        <f t="shared" si="28"/>
        <v>0</v>
      </c>
      <c r="L117" s="149">
        <f t="shared" si="28"/>
        <v>0</v>
      </c>
      <c r="M117" s="150">
        <f t="shared" si="28"/>
        <v>0</v>
      </c>
      <c r="N117" s="149">
        <f>SUM(N118:N122)</f>
        <v>0</v>
      </c>
      <c r="O117" s="150">
        <f>SUM(O118:O122)</f>
        <v>0</v>
      </c>
      <c r="P117" s="149">
        <f t="shared" si="28"/>
        <v>0</v>
      </c>
      <c r="Q117" s="150">
        <f t="shared" si="28"/>
        <v>0</v>
      </c>
      <c r="R117" s="151">
        <f t="shared" si="28"/>
        <v>884086</v>
      </c>
      <c r="S117" s="152"/>
    </row>
    <row r="118" spans="1:19" ht="15" customHeight="1" x14ac:dyDescent="0.4">
      <c r="A118" s="297" t="s">
        <v>74</v>
      </c>
      <c r="C118" s="101" t="s">
        <v>457</v>
      </c>
      <c r="D118" s="140"/>
      <c r="E118" s="140"/>
      <c r="F118" s="105">
        <f>SUMIF(歳入!I:I,精算表!A118,歳入!K:K)</f>
        <v>0</v>
      </c>
      <c r="G118" s="105">
        <f>SUMIF(歳入!J:J,精算表!A118,歳入!K:K)</f>
        <v>0</v>
      </c>
      <c r="H118" s="105">
        <f>SUMIF(歳出!H:H,精算表!A118,歳出!J:J)</f>
        <v>0</v>
      </c>
      <c r="I118" s="105">
        <f>SUMIF(歳出!I:I,精算表!A118,歳出!J:J)</f>
        <v>0</v>
      </c>
      <c r="J118" s="105">
        <f>SUMIF(決算整理!C:C,精算表!A118,決算整理!E:E)</f>
        <v>0</v>
      </c>
      <c r="K118" s="106">
        <f>SUMIF(決算整理!D:D,精算表!A118,決算整理!E:E)</f>
        <v>0</v>
      </c>
      <c r="L118" s="105"/>
      <c r="M118" s="105"/>
      <c r="N118" s="105"/>
      <c r="O118" s="105"/>
      <c r="P118" s="105">
        <f>SUMIF(相殺仕訳!J:J,精算表!A118,相殺仕訳!L:L)</f>
        <v>0</v>
      </c>
      <c r="Q118" s="107">
        <f>SUMIF(相殺仕訳!K:K,精算表!A118,相殺仕訳!L:L)</f>
        <v>0</v>
      </c>
      <c r="R118" s="108">
        <f>D118+F118-G118+H118-I118+J118-K118+L118-M118+N118-O118+P118-Q118</f>
        <v>0</v>
      </c>
      <c r="S118" s="109"/>
    </row>
    <row r="119" spans="1:19" ht="15" customHeight="1" x14ac:dyDescent="0.4">
      <c r="A119" s="297" t="s">
        <v>75</v>
      </c>
      <c r="C119" s="101" t="s">
        <v>458</v>
      </c>
      <c r="D119" s="140"/>
      <c r="E119" s="140"/>
      <c r="F119" s="105">
        <f>SUMIF(歳入!I:I,精算表!A119,歳入!K:K)</f>
        <v>0</v>
      </c>
      <c r="G119" s="105">
        <f>SUMIF(歳入!J:J,精算表!A119,歳入!K:K)</f>
        <v>0</v>
      </c>
      <c r="H119" s="105">
        <f>SUMIF(歳出!H:H,精算表!A119,歳出!J:J)</f>
        <v>0</v>
      </c>
      <c r="I119" s="105">
        <f>SUMIF(歳出!I:I,精算表!A119,歳出!J:J)</f>
        <v>0</v>
      </c>
      <c r="J119" s="105">
        <f>SUMIF(決算整理!C:C,精算表!A119,決算整理!E:E)</f>
        <v>884086</v>
      </c>
      <c r="K119" s="106">
        <f>SUMIF(決算整理!D:D,精算表!A119,決算整理!E:E)</f>
        <v>0</v>
      </c>
      <c r="L119" s="105"/>
      <c r="M119" s="105"/>
      <c r="N119" s="105"/>
      <c r="O119" s="105"/>
      <c r="P119" s="105">
        <f>SUMIF(相殺仕訳!J:J,精算表!A119,相殺仕訳!L:L)</f>
        <v>0</v>
      </c>
      <c r="Q119" s="107">
        <f>SUMIF(相殺仕訳!K:K,精算表!A119,相殺仕訳!L:L)</f>
        <v>0</v>
      </c>
      <c r="R119" s="108">
        <f>D119+F119-G119+H119-I119+J119-K119+L119-M119+N119-O119+P119-Q119</f>
        <v>884086</v>
      </c>
      <c r="S119" s="109"/>
    </row>
    <row r="120" spans="1:19" ht="15" customHeight="1" x14ac:dyDescent="0.4">
      <c r="A120" s="297" t="s">
        <v>76</v>
      </c>
      <c r="C120" s="101" t="s">
        <v>459</v>
      </c>
      <c r="D120" s="140"/>
      <c r="E120" s="140"/>
      <c r="F120" s="105">
        <f>SUMIF(歳入!I:I,精算表!A120,歳入!K:K)</f>
        <v>0</v>
      </c>
      <c r="G120" s="105">
        <f>SUMIF(歳入!J:J,精算表!A120,歳入!K:K)</f>
        <v>0</v>
      </c>
      <c r="H120" s="105">
        <f>SUMIF(歳出!H:H,精算表!A120,歳出!J:J)</f>
        <v>0</v>
      </c>
      <c r="I120" s="105">
        <f>SUMIF(歳出!I:I,精算表!A120,歳出!J:J)</f>
        <v>0</v>
      </c>
      <c r="J120" s="105">
        <f>SUMIF(決算整理!C:C,精算表!A120,決算整理!E:E)</f>
        <v>0</v>
      </c>
      <c r="K120" s="106">
        <f>SUMIF(決算整理!D:D,精算表!A120,決算整理!E:E)</f>
        <v>0</v>
      </c>
      <c r="L120" s="105"/>
      <c r="M120" s="105"/>
      <c r="N120" s="105"/>
      <c r="O120" s="105"/>
      <c r="P120" s="105">
        <f>SUMIF(相殺仕訳!J:J,精算表!A120,相殺仕訳!L:L)</f>
        <v>0</v>
      </c>
      <c r="Q120" s="107">
        <f>SUMIF(相殺仕訳!K:K,精算表!A120,相殺仕訳!L:L)</f>
        <v>0</v>
      </c>
      <c r="R120" s="108">
        <f>D120+F120-G120+H120-I120+J120-K120+L120-M120+N120-O120+P120-Q120</f>
        <v>0</v>
      </c>
      <c r="S120" s="109"/>
    </row>
    <row r="121" spans="1:19" ht="15" customHeight="1" x14ac:dyDescent="0.4">
      <c r="A121" s="297" t="s">
        <v>77</v>
      </c>
      <c r="C121" s="101" t="s">
        <v>460</v>
      </c>
      <c r="D121" s="140"/>
      <c r="E121" s="140"/>
      <c r="F121" s="105">
        <f>SUMIF(歳入!I:I,精算表!A121,歳入!K:K)</f>
        <v>0</v>
      </c>
      <c r="G121" s="105">
        <f>SUMIF(歳入!J:J,精算表!A121,歳入!K:K)</f>
        <v>0</v>
      </c>
      <c r="H121" s="105">
        <f>SUMIF(歳出!H:H,精算表!A121,歳出!J:J)</f>
        <v>0</v>
      </c>
      <c r="I121" s="105">
        <f>SUMIF(歳出!I:I,精算表!A121,歳出!J:J)</f>
        <v>0</v>
      </c>
      <c r="J121" s="105">
        <f>SUMIF(決算整理!C:C,精算表!A121,決算整理!E:E)</f>
        <v>0</v>
      </c>
      <c r="K121" s="106">
        <f>SUMIF(決算整理!D:D,精算表!A121,決算整理!E:E)</f>
        <v>0</v>
      </c>
      <c r="L121" s="105"/>
      <c r="M121" s="105"/>
      <c r="N121" s="105"/>
      <c r="O121" s="105"/>
      <c r="P121" s="105">
        <f>SUMIF(相殺仕訳!J:J,精算表!A121,相殺仕訳!L:L)</f>
        <v>0</v>
      </c>
      <c r="Q121" s="107">
        <f>SUMIF(相殺仕訳!K:K,精算表!A121,相殺仕訳!L:L)</f>
        <v>0</v>
      </c>
      <c r="R121" s="108">
        <f>D121+F121-G121+H121-I121+J121-K121+L121-M121+N121-O121+P121-Q121</f>
        <v>0</v>
      </c>
      <c r="S121" s="109"/>
    </row>
    <row r="122" spans="1:19" ht="15" customHeight="1" x14ac:dyDescent="0.4">
      <c r="A122" s="297" t="s">
        <v>78</v>
      </c>
      <c r="C122" s="101" t="s">
        <v>132</v>
      </c>
      <c r="D122" s="140"/>
      <c r="E122" s="140"/>
      <c r="F122" s="105">
        <f>SUMIF(歳入!I:I,精算表!A122,歳入!K:K)</f>
        <v>0</v>
      </c>
      <c r="G122" s="105">
        <f>SUMIF(歳入!J:J,精算表!A122,歳入!K:K)</f>
        <v>0</v>
      </c>
      <c r="H122" s="105">
        <f>SUMIF(歳出!H:H,精算表!A122,歳出!J:J)</f>
        <v>0</v>
      </c>
      <c r="I122" s="105">
        <f>SUMIF(歳出!I:I,精算表!A122,歳出!J:J)</f>
        <v>0</v>
      </c>
      <c r="J122" s="105">
        <f>SUMIF(決算整理!C:C,精算表!A122,決算整理!E:E)</f>
        <v>0</v>
      </c>
      <c r="K122" s="106">
        <f>SUMIF(決算整理!D:D,精算表!A122,決算整理!E:E)</f>
        <v>0</v>
      </c>
      <c r="L122" s="105"/>
      <c r="M122" s="105"/>
      <c r="N122" s="105"/>
      <c r="O122" s="105"/>
      <c r="P122" s="105">
        <f>SUMIF(相殺仕訳!J:J,精算表!A122,相殺仕訳!L:L)</f>
        <v>0</v>
      </c>
      <c r="Q122" s="107">
        <f>SUMIF(相殺仕訳!K:K,精算表!A122,相殺仕訳!L:L)</f>
        <v>0</v>
      </c>
      <c r="R122" s="108">
        <f>D122+F122-G122+H122-I122+J122-K122+L122-M122+N122-O122+P122-Q122</f>
        <v>0</v>
      </c>
      <c r="S122" s="109"/>
    </row>
    <row r="123" spans="1:19" ht="15" customHeight="1" x14ac:dyDescent="0.4">
      <c r="A123" s="297"/>
      <c r="C123" s="101" t="s">
        <v>461</v>
      </c>
      <c r="D123" s="140"/>
      <c r="E123" s="140"/>
      <c r="F123" s="68">
        <f>SUM(F124:F125)</f>
        <v>0</v>
      </c>
      <c r="G123" s="68">
        <f t="shared" ref="G123:S123" si="29">SUM(G124:G125)</f>
        <v>1129864</v>
      </c>
      <c r="H123" s="68">
        <f t="shared" si="29"/>
        <v>0</v>
      </c>
      <c r="I123" s="68">
        <f t="shared" si="29"/>
        <v>0</v>
      </c>
      <c r="J123" s="68">
        <f t="shared" si="29"/>
        <v>0</v>
      </c>
      <c r="K123" s="102">
        <f t="shared" si="29"/>
        <v>0</v>
      </c>
      <c r="L123" s="68">
        <f t="shared" si="29"/>
        <v>0</v>
      </c>
      <c r="M123" s="102">
        <f t="shared" si="29"/>
        <v>0</v>
      </c>
      <c r="N123" s="68">
        <f>SUM(N124:N125)</f>
        <v>0</v>
      </c>
      <c r="O123" s="102">
        <f>SUM(O124:O125)</f>
        <v>0</v>
      </c>
      <c r="P123" s="68">
        <f t="shared" si="29"/>
        <v>0</v>
      </c>
      <c r="Q123" s="102">
        <f t="shared" si="29"/>
        <v>0</v>
      </c>
      <c r="R123" s="103"/>
      <c r="S123" s="104">
        <f t="shared" si="29"/>
        <v>1129864</v>
      </c>
    </row>
    <row r="124" spans="1:19" ht="15" customHeight="1" x14ac:dyDescent="0.4">
      <c r="A124" s="297" t="s">
        <v>79</v>
      </c>
      <c r="C124" s="101" t="s">
        <v>462</v>
      </c>
      <c r="D124" s="140"/>
      <c r="E124" s="140"/>
      <c r="F124" s="105">
        <f>SUMIF(歳入!I:I,精算表!A124,歳入!K:K)</f>
        <v>0</v>
      </c>
      <c r="G124" s="105">
        <f>SUMIF(歳入!J:J,精算表!A124,歳入!K:K)</f>
        <v>1129864</v>
      </c>
      <c r="H124" s="105">
        <f>SUMIF(歳出!H:H,精算表!A124,歳出!J:J)</f>
        <v>0</v>
      </c>
      <c r="I124" s="105">
        <f>SUMIF(歳出!I:I,精算表!A124,歳出!J:J)</f>
        <v>0</v>
      </c>
      <c r="J124" s="105">
        <f>SUMIF(決算整理!C:C,精算表!A124,決算整理!E:E)</f>
        <v>0</v>
      </c>
      <c r="K124" s="106">
        <f>SUMIF(決算整理!D:D,精算表!A124,決算整理!E:E)</f>
        <v>0</v>
      </c>
      <c r="L124" s="105"/>
      <c r="M124" s="105"/>
      <c r="N124" s="105"/>
      <c r="O124" s="105"/>
      <c r="P124" s="105">
        <f>SUMIF(相殺仕訳!J:J,精算表!A124,相殺仕訳!L:L)</f>
        <v>0</v>
      </c>
      <c r="Q124" s="107">
        <f>SUMIF(相殺仕訳!K:K,精算表!A124,相殺仕訳!L:L)</f>
        <v>0</v>
      </c>
      <c r="R124" s="108"/>
      <c r="S124" s="109">
        <f>E124-F124+G124-H124+I124-J124+K124-L124+M124-N124+O124-P124+Q124</f>
        <v>1129864</v>
      </c>
    </row>
    <row r="125" spans="1:19" ht="15" customHeight="1" x14ac:dyDescent="0.4">
      <c r="A125" s="297" t="s">
        <v>80</v>
      </c>
      <c r="C125" s="115" t="s">
        <v>132</v>
      </c>
      <c r="D125" s="153"/>
      <c r="E125" s="153"/>
      <c r="F125" s="105">
        <f>SUMIF(歳入!I:I,精算表!A125,歳入!K:K)</f>
        <v>0</v>
      </c>
      <c r="G125" s="105">
        <f>SUMIF(歳入!J:J,精算表!A125,歳入!K:K)</f>
        <v>0</v>
      </c>
      <c r="H125" s="105">
        <f>SUMIF(歳出!H:H,精算表!A125,歳出!J:J)</f>
        <v>0</v>
      </c>
      <c r="I125" s="105">
        <f>SUMIF(歳出!I:I,精算表!A125,歳出!J:J)</f>
        <v>0</v>
      </c>
      <c r="J125" s="105">
        <f>SUMIF(決算整理!C:C,精算表!A125,決算整理!E:E)</f>
        <v>0</v>
      </c>
      <c r="K125" s="106">
        <f>SUMIF(決算整理!D:D,精算表!A125,決算整理!E:E)</f>
        <v>0</v>
      </c>
      <c r="L125" s="121"/>
      <c r="M125" s="121"/>
      <c r="N125" s="121"/>
      <c r="O125" s="121"/>
      <c r="P125" s="105">
        <f>SUMIF(相殺仕訳!J:J,精算表!A125,相殺仕訳!L:L)</f>
        <v>0</v>
      </c>
      <c r="Q125" s="107">
        <f>SUMIF(相殺仕訳!K:K,精算表!A125,相殺仕訳!L:L)</f>
        <v>0</v>
      </c>
      <c r="R125" s="124"/>
      <c r="S125" s="125">
        <f>E125-F125+G125-H125+I125-J125+K125-L125+M125-N125+O125-P125+Q125</f>
        <v>0</v>
      </c>
    </row>
    <row r="126" spans="1:19" ht="15" customHeight="1" thickBot="1" x14ac:dyDescent="0.45">
      <c r="A126" s="297"/>
      <c r="C126" s="154" t="s">
        <v>463</v>
      </c>
      <c r="D126" s="155"/>
      <c r="E126" s="155"/>
      <c r="F126" s="156">
        <f>F116+F117-F123</f>
        <v>0</v>
      </c>
      <c r="G126" s="156">
        <f t="shared" ref="G126:Q126" si="30">G116+G117-G123</f>
        <v>-141423957</v>
      </c>
      <c r="H126" s="156">
        <f t="shared" si="30"/>
        <v>4230919286</v>
      </c>
      <c r="I126" s="156">
        <f t="shared" si="30"/>
        <v>0</v>
      </c>
      <c r="J126" s="156">
        <f t="shared" si="30"/>
        <v>539872556</v>
      </c>
      <c r="K126" s="157">
        <f t="shared" si="30"/>
        <v>-78750100</v>
      </c>
      <c r="L126" s="156">
        <f t="shared" si="30"/>
        <v>0</v>
      </c>
      <c r="M126" s="157">
        <f t="shared" si="30"/>
        <v>0</v>
      </c>
      <c r="N126" s="156">
        <f>N116+N117-N123</f>
        <v>0</v>
      </c>
      <c r="O126" s="157">
        <f>O116+O117-O123</f>
        <v>0</v>
      </c>
      <c r="P126" s="156">
        <f t="shared" si="30"/>
        <v>0</v>
      </c>
      <c r="Q126" s="157">
        <f t="shared" si="30"/>
        <v>0</v>
      </c>
      <c r="R126" s="158">
        <f>IFERROR(IF(R116&lt;&gt;"",R116+R117-S123,""),"")</f>
        <v>4550617785</v>
      </c>
      <c r="S126" s="159" t="str">
        <f>IFERROR(IF(S116&lt;&gt;"",S116-R117+S123,""),"")</f>
        <v/>
      </c>
    </row>
    <row r="127" spans="1:19" ht="15" customHeight="1" x14ac:dyDescent="0.4">
      <c r="A127" s="297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</row>
    <row r="128" spans="1:19" ht="15" customHeight="1" thickBot="1" x14ac:dyDescent="0.45">
      <c r="A128" s="297"/>
      <c r="C128" s="90" t="s">
        <v>464</v>
      </c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</row>
    <row r="129" spans="1:19" ht="15" customHeight="1" x14ac:dyDescent="0.4">
      <c r="A129" s="297"/>
      <c r="C129" s="387" t="s">
        <v>365</v>
      </c>
      <c r="D129" s="382" t="s">
        <v>421</v>
      </c>
      <c r="E129" s="383"/>
      <c r="F129" s="382" t="s">
        <v>422</v>
      </c>
      <c r="G129" s="383"/>
      <c r="H129" s="382" t="s">
        <v>231</v>
      </c>
      <c r="I129" s="383"/>
      <c r="J129" s="382" t="s">
        <v>423</v>
      </c>
      <c r="K129" s="389"/>
      <c r="L129" s="382" t="s">
        <v>424</v>
      </c>
      <c r="M129" s="383"/>
      <c r="N129" s="382"/>
      <c r="O129" s="383"/>
      <c r="P129" s="382" t="s">
        <v>425</v>
      </c>
      <c r="Q129" s="384"/>
      <c r="R129" s="385" t="s">
        <v>426</v>
      </c>
      <c r="S129" s="386"/>
    </row>
    <row r="130" spans="1:19" ht="15" customHeight="1" x14ac:dyDescent="0.4">
      <c r="A130" s="297"/>
      <c r="C130" s="388"/>
      <c r="D130" s="92" t="s">
        <v>234</v>
      </c>
      <c r="E130" s="92" t="s">
        <v>235</v>
      </c>
      <c r="F130" s="92" t="s">
        <v>234</v>
      </c>
      <c r="G130" s="92" t="s">
        <v>235</v>
      </c>
      <c r="H130" s="92" t="s">
        <v>234</v>
      </c>
      <c r="I130" s="92" t="s">
        <v>235</v>
      </c>
      <c r="J130" s="92" t="s">
        <v>234</v>
      </c>
      <c r="K130" s="93" t="s">
        <v>235</v>
      </c>
      <c r="L130" s="160" t="s">
        <v>234</v>
      </c>
      <c r="M130" s="160" t="s">
        <v>235</v>
      </c>
      <c r="N130" s="160" t="s">
        <v>234</v>
      </c>
      <c r="O130" s="160" t="s">
        <v>235</v>
      </c>
      <c r="P130" s="160" t="s">
        <v>234</v>
      </c>
      <c r="Q130" s="161" t="s">
        <v>235</v>
      </c>
      <c r="R130" s="94" t="s">
        <v>234</v>
      </c>
      <c r="S130" s="95" t="s">
        <v>235</v>
      </c>
    </row>
    <row r="131" spans="1:19" ht="15" customHeight="1" x14ac:dyDescent="0.4">
      <c r="A131" s="297"/>
      <c r="C131" s="116" t="s">
        <v>465</v>
      </c>
      <c r="D131" s="71"/>
      <c r="E131" s="71">
        <f>開始BS!$D$61</f>
        <v>8968329379</v>
      </c>
      <c r="F131" s="71"/>
      <c r="G131" s="71"/>
      <c r="H131" s="71"/>
      <c r="I131" s="71"/>
      <c r="J131" s="71"/>
      <c r="K131" s="117"/>
      <c r="L131" s="71"/>
      <c r="M131" s="71"/>
      <c r="N131" s="71"/>
      <c r="O131" s="71"/>
      <c r="P131" s="71"/>
      <c r="Q131" s="162"/>
      <c r="R131" s="118"/>
      <c r="S131" s="119">
        <f>E131</f>
        <v>8968329379</v>
      </c>
    </row>
    <row r="132" spans="1:19" ht="15" customHeight="1" x14ac:dyDescent="0.4">
      <c r="A132" s="297"/>
      <c r="C132" s="96" t="s">
        <v>466</v>
      </c>
      <c r="D132" s="64"/>
      <c r="E132" s="64"/>
      <c r="F132" s="64"/>
      <c r="G132" s="64"/>
      <c r="H132" s="64"/>
      <c r="I132" s="64"/>
      <c r="J132" s="64"/>
      <c r="K132" s="97"/>
      <c r="L132" s="64"/>
      <c r="M132" s="64"/>
      <c r="N132" s="64"/>
      <c r="O132" s="64"/>
      <c r="P132" s="64"/>
      <c r="Q132" s="98"/>
      <c r="R132" s="99"/>
      <c r="S132" s="100">
        <f>-R126</f>
        <v>-4550617785</v>
      </c>
    </row>
    <row r="133" spans="1:19" ht="15" customHeight="1" x14ac:dyDescent="0.4">
      <c r="A133" s="297"/>
      <c r="C133" s="101" t="s">
        <v>467</v>
      </c>
      <c r="D133" s="68"/>
      <c r="E133" s="68"/>
      <c r="F133" s="68">
        <f>SUM(F134:F135)</f>
        <v>0</v>
      </c>
      <c r="G133" s="68">
        <f t="shared" ref="G133:Q133" si="31">SUM(G134:G135)</f>
        <v>4743299376</v>
      </c>
      <c r="H133" s="68">
        <f t="shared" si="31"/>
        <v>0</v>
      </c>
      <c r="I133" s="68">
        <f t="shared" si="31"/>
        <v>0</v>
      </c>
      <c r="J133" s="68">
        <f t="shared" si="31"/>
        <v>25092046</v>
      </c>
      <c r="K133" s="102">
        <f t="shared" si="31"/>
        <v>25000000</v>
      </c>
      <c r="L133" s="68">
        <f t="shared" si="31"/>
        <v>0</v>
      </c>
      <c r="M133" s="102">
        <f t="shared" si="31"/>
        <v>0</v>
      </c>
      <c r="N133" s="68">
        <f>SUM(N134:N135)</f>
        <v>0</v>
      </c>
      <c r="O133" s="102">
        <f>SUM(O134:O135)</f>
        <v>0</v>
      </c>
      <c r="P133" s="68">
        <f t="shared" si="31"/>
        <v>0</v>
      </c>
      <c r="Q133" s="102">
        <f t="shared" si="31"/>
        <v>0</v>
      </c>
      <c r="R133" s="103"/>
      <c r="S133" s="104">
        <f>SUM(S134:S135)</f>
        <v>4743207330</v>
      </c>
    </row>
    <row r="134" spans="1:19" ht="15" customHeight="1" x14ac:dyDescent="0.4">
      <c r="A134" s="297" t="s">
        <v>81</v>
      </c>
      <c r="C134" s="101" t="s">
        <v>468</v>
      </c>
      <c r="D134" s="68"/>
      <c r="E134" s="68"/>
      <c r="F134" s="105">
        <f>SUMIF(歳入!I:I,精算表!A134,歳入!K:K)</f>
        <v>0</v>
      </c>
      <c r="G134" s="105">
        <f>SUMIF(歳入!J:J,精算表!A134,歳入!K:K)</f>
        <v>3840421429</v>
      </c>
      <c r="H134" s="105">
        <f>SUMIF(歳出!H:H,精算表!A134,歳出!J:J)</f>
        <v>0</v>
      </c>
      <c r="I134" s="105">
        <f>SUMIF(歳出!I:I,精算表!A134,歳出!J:J)</f>
        <v>0</v>
      </c>
      <c r="J134" s="105">
        <f>SUMIF(決算整理!C:C,精算表!A134,決算整理!E:E)</f>
        <v>25092046</v>
      </c>
      <c r="K134" s="106">
        <f>SUMIF(決算整理!D:D,精算表!A134,決算整理!E:E)</f>
        <v>25000000</v>
      </c>
      <c r="L134" s="105"/>
      <c r="M134" s="105"/>
      <c r="N134" s="105"/>
      <c r="O134" s="105"/>
      <c r="P134" s="105">
        <f>SUMIF(相殺仕訳!J:J,精算表!A134,相殺仕訳!L:L)</f>
        <v>0</v>
      </c>
      <c r="Q134" s="107">
        <f>SUMIF(相殺仕訳!K:K,精算表!A134,相殺仕訳!L:L)</f>
        <v>0</v>
      </c>
      <c r="R134" s="108"/>
      <c r="S134" s="109">
        <f>E134-F134+G134-H134+I134-J134+K134-L134+M134-N134+O134-P134+Q134</f>
        <v>3840329383</v>
      </c>
    </row>
    <row r="135" spans="1:19" ht="15" customHeight="1" x14ac:dyDescent="0.4">
      <c r="A135" s="297" t="s">
        <v>82</v>
      </c>
      <c r="C135" s="141" t="s">
        <v>469</v>
      </c>
      <c r="D135" s="163"/>
      <c r="E135" s="163"/>
      <c r="F135" s="105">
        <f>SUMIF(歳入!I:I,精算表!A135,歳入!K:K)</f>
        <v>0</v>
      </c>
      <c r="G135" s="105">
        <f>SUMIF(歳入!J:J,精算表!A135,歳入!K:K)</f>
        <v>902877947</v>
      </c>
      <c r="H135" s="105">
        <f>SUMIF(歳出!H:H,精算表!A135,歳出!J:J)</f>
        <v>0</v>
      </c>
      <c r="I135" s="105">
        <f>SUMIF(歳出!I:I,精算表!A135,歳出!J:J)</f>
        <v>0</v>
      </c>
      <c r="J135" s="105">
        <f>SUMIF(決算整理!C:C,精算表!A135,決算整理!E:E)</f>
        <v>0</v>
      </c>
      <c r="K135" s="106">
        <f>SUMIF(決算整理!D:D,精算表!A135,決算整理!E:E)</f>
        <v>0</v>
      </c>
      <c r="L135" s="143"/>
      <c r="M135" s="143"/>
      <c r="N135" s="143"/>
      <c r="O135" s="143"/>
      <c r="P135" s="105">
        <f>SUMIF(相殺仕訳!J:J,精算表!A135,相殺仕訳!L:L)</f>
        <v>0</v>
      </c>
      <c r="Q135" s="107">
        <f>SUMIF(相殺仕訳!K:K,精算表!A135,相殺仕訳!L:L)</f>
        <v>0</v>
      </c>
      <c r="R135" s="144"/>
      <c r="S135" s="145">
        <f>E135-F135+G135-H135+I135-J135+K135-L135+M135-N135+O135-P135+Q135</f>
        <v>902877947</v>
      </c>
    </row>
    <row r="136" spans="1:19" ht="15" customHeight="1" x14ac:dyDescent="0.4">
      <c r="A136" s="297"/>
      <c r="C136" s="116" t="s">
        <v>470</v>
      </c>
      <c r="D136" s="71"/>
      <c r="E136" s="71"/>
      <c r="F136" s="71">
        <f>F132+F133</f>
        <v>0</v>
      </c>
      <c r="G136" s="71">
        <f t="shared" ref="G136:Q136" si="32">G132+G133</f>
        <v>4743299376</v>
      </c>
      <c r="H136" s="71">
        <f t="shared" si="32"/>
        <v>0</v>
      </c>
      <c r="I136" s="71">
        <f t="shared" si="32"/>
        <v>0</v>
      </c>
      <c r="J136" s="71">
        <f t="shared" si="32"/>
        <v>25092046</v>
      </c>
      <c r="K136" s="117">
        <f t="shared" si="32"/>
        <v>25000000</v>
      </c>
      <c r="L136" s="71">
        <f t="shared" si="32"/>
        <v>0</v>
      </c>
      <c r="M136" s="117">
        <f t="shared" si="32"/>
        <v>0</v>
      </c>
      <c r="N136" s="71">
        <f>N132+N133</f>
        <v>0</v>
      </c>
      <c r="O136" s="117">
        <f>O132+O133</f>
        <v>0</v>
      </c>
      <c r="P136" s="71">
        <f t="shared" si="32"/>
        <v>0</v>
      </c>
      <c r="Q136" s="117">
        <f t="shared" si="32"/>
        <v>0</v>
      </c>
      <c r="R136" s="118"/>
      <c r="S136" s="119">
        <f>S132+S133</f>
        <v>192589545</v>
      </c>
    </row>
    <row r="137" spans="1:19" ht="15" customHeight="1" x14ac:dyDescent="0.4">
      <c r="A137" s="297"/>
      <c r="C137" s="147" t="s">
        <v>471</v>
      </c>
      <c r="D137" s="149"/>
      <c r="E137" s="149"/>
      <c r="F137" s="164"/>
      <c r="G137" s="164"/>
      <c r="H137" s="164"/>
      <c r="I137" s="164"/>
      <c r="J137" s="164"/>
      <c r="K137" s="165"/>
      <c r="L137" s="164"/>
      <c r="M137" s="164"/>
      <c r="N137" s="164"/>
      <c r="O137" s="164"/>
      <c r="P137" s="164"/>
      <c r="Q137" s="166"/>
      <c r="R137" s="167"/>
      <c r="S137" s="168"/>
    </row>
    <row r="138" spans="1:19" ht="15" customHeight="1" x14ac:dyDescent="0.4">
      <c r="A138" s="297"/>
      <c r="C138" s="101" t="s">
        <v>472</v>
      </c>
      <c r="D138" s="68"/>
      <c r="E138" s="68"/>
      <c r="F138" s="169"/>
      <c r="G138" s="169"/>
      <c r="H138" s="169"/>
      <c r="I138" s="169"/>
      <c r="J138" s="169"/>
      <c r="K138" s="170"/>
      <c r="L138" s="169"/>
      <c r="M138" s="169"/>
      <c r="N138" s="169"/>
      <c r="O138" s="169"/>
      <c r="P138" s="169"/>
      <c r="Q138" s="171"/>
      <c r="R138" s="172"/>
      <c r="S138" s="173">
        <f>NW内訳!D8</f>
        <v>283676346</v>
      </c>
    </row>
    <row r="139" spans="1:19" ht="15" customHeight="1" x14ac:dyDescent="0.4">
      <c r="A139" s="297"/>
      <c r="C139" s="101" t="s">
        <v>473</v>
      </c>
      <c r="D139" s="68"/>
      <c r="E139" s="68"/>
      <c r="F139" s="169"/>
      <c r="G139" s="169"/>
      <c r="H139" s="169"/>
      <c r="I139" s="169"/>
      <c r="J139" s="169"/>
      <c r="K139" s="170"/>
      <c r="L139" s="169"/>
      <c r="M139" s="169"/>
      <c r="N139" s="169"/>
      <c r="O139" s="169"/>
      <c r="P139" s="169"/>
      <c r="Q139" s="171"/>
      <c r="R139" s="172">
        <f>NW内訳!E13</f>
        <v>500751741</v>
      </c>
      <c r="S139" s="173"/>
    </row>
    <row r="140" spans="1:19" ht="15" customHeight="1" x14ac:dyDescent="0.4">
      <c r="A140" s="297"/>
      <c r="C140" s="101" t="s">
        <v>474</v>
      </c>
      <c r="D140" s="68"/>
      <c r="E140" s="68"/>
      <c r="F140" s="169"/>
      <c r="G140" s="169"/>
      <c r="H140" s="169"/>
      <c r="I140" s="169"/>
      <c r="J140" s="169"/>
      <c r="K140" s="170"/>
      <c r="L140" s="169"/>
      <c r="M140" s="169"/>
      <c r="N140" s="169"/>
      <c r="O140" s="169"/>
      <c r="P140" s="169"/>
      <c r="Q140" s="171"/>
      <c r="R140" s="172"/>
      <c r="S140" s="173">
        <f>NW内訳!D19</f>
        <v>339611317</v>
      </c>
    </row>
    <row r="141" spans="1:19" ht="15" customHeight="1" x14ac:dyDescent="0.4">
      <c r="A141" s="297"/>
      <c r="C141" s="101" t="s">
        <v>475</v>
      </c>
      <c r="D141" s="68"/>
      <c r="E141" s="68"/>
      <c r="F141" s="169"/>
      <c r="G141" s="169"/>
      <c r="H141" s="169"/>
      <c r="I141" s="169"/>
      <c r="J141" s="169"/>
      <c r="K141" s="170"/>
      <c r="L141" s="169"/>
      <c r="M141" s="169"/>
      <c r="N141" s="169"/>
      <c r="O141" s="169"/>
      <c r="P141" s="169"/>
      <c r="Q141" s="171"/>
      <c r="R141" s="172">
        <f>NW内訳!E25</f>
        <v>168807605</v>
      </c>
      <c r="S141" s="173"/>
    </row>
    <row r="142" spans="1:19" ht="15" customHeight="1" x14ac:dyDescent="0.4">
      <c r="A142" s="297" t="s">
        <v>476</v>
      </c>
      <c r="C142" s="101" t="s">
        <v>477</v>
      </c>
      <c r="D142" s="68"/>
      <c r="E142" s="68"/>
      <c r="F142" s="105">
        <f>SUMIF(歳入!I:I,精算表!A142,歳入!K:K)</f>
        <v>0</v>
      </c>
      <c r="G142" s="105">
        <f>SUMIF(歳入!J:J,精算表!A142,歳入!K:K)</f>
        <v>0</v>
      </c>
      <c r="H142" s="105">
        <f>SUMIF(歳出!H:H,精算表!A142,歳出!J:J)</f>
        <v>0</v>
      </c>
      <c r="I142" s="105">
        <f>SUMIF(歳出!I:I,精算表!A142,歳出!J:J)</f>
        <v>0</v>
      </c>
      <c r="J142" s="105">
        <f>SUMIF(決算整理!C:C,精算表!A142,決算整理!E:E)</f>
        <v>0</v>
      </c>
      <c r="K142" s="106">
        <f>SUMIF(決算整理!D:D,精算表!A142,決算整理!E:E)</f>
        <v>0</v>
      </c>
      <c r="L142" s="105"/>
      <c r="M142" s="105"/>
      <c r="N142" s="105"/>
      <c r="O142" s="105"/>
      <c r="P142" s="105">
        <f>SUMIF(相殺仕訳!J:J,精算表!A142,相殺仕訳!L:L)</f>
        <v>0</v>
      </c>
      <c r="Q142" s="107">
        <f>SUMIF(相殺仕訳!K:K,精算表!A142,相殺仕訳!L:L)</f>
        <v>0</v>
      </c>
      <c r="R142" s="108"/>
      <c r="S142" s="109">
        <f>E142-F142+G142-H142+I142-J142+K142-L142+M142-N142+O142-P142+Q142</f>
        <v>0</v>
      </c>
    </row>
    <row r="143" spans="1:19" ht="15" customHeight="1" x14ac:dyDescent="0.4">
      <c r="A143" s="297" t="s">
        <v>478</v>
      </c>
      <c r="C143" s="101" t="s">
        <v>479</v>
      </c>
      <c r="D143" s="68"/>
      <c r="E143" s="68"/>
      <c r="F143" s="105">
        <f>SUMIF(歳入!I:I,精算表!A143,歳入!K:K)</f>
        <v>0</v>
      </c>
      <c r="G143" s="105">
        <f>SUMIF(歳入!J:J,精算表!A143,歳入!K:K)</f>
        <v>0</v>
      </c>
      <c r="H143" s="105">
        <f>SUMIF(歳出!H:H,精算表!A143,歳出!J:J)</f>
        <v>0</v>
      </c>
      <c r="I143" s="105">
        <f>SUMIF(歳出!I:I,精算表!A143,歳出!J:J)</f>
        <v>0</v>
      </c>
      <c r="J143" s="105">
        <f>SUMIF(決算整理!C:C,精算表!A143,決算整理!E:E)</f>
        <v>0</v>
      </c>
      <c r="K143" s="106">
        <f>SUMIF(決算整理!D:D,精算表!A143,決算整理!E:E)</f>
        <v>0</v>
      </c>
      <c r="L143" s="105"/>
      <c r="M143" s="105"/>
      <c r="N143" s="105"/>
      <c r="O143" s="105"/>
      <c r="P143" s="105">
        <f>SUMIF(相殺仕訳!J:J,精算表!A143,相殺仕訳!L:L)</f>
        <v>0</v>
      </c>
      <c r="Q143" s="107">
        <f>SUMIF(相殺仕訳!K:K,精算表!A143,相殺仕訳!L:L)</f>
        <v>0</v>
      </c>
      <c r="R143" s="108"/>
      <c r="S143" s="109">
        <f>E143-F143+G143-H143+I143-J143+K143-L143+M143-N143+O143-P143+Q143</f>
        <v>0</v>
      </c>
    </row>
    <row r="144" spans="1:19" ht="15" customHeight="1" x14ac:dyDescent="0.4">
      <c r="A144" s="297" t="s">
        <v>621</v>
      </c>
      <c r="C144" s="101" t="s">
        <v>546</v>
      </c>
      <c r="D144" s="68"/>
      <c r="E144" s="68"/>
      <c r="F144" s="105">
        <f>SUMIF(歳入!I:I,精算表!A144,歳入!K:K)</f>
        <v>0</v>
      </c>
      <c r="G144" s="105">
        <f>SUMIF(歳入!J:J,精算表!A144,歳入!K:K)</f>
        <v>0</v>
      </c>
      <c r="H144" s="105">
        <f>SUMIF(歳出!H:H,精算表!A144,歳出!J:J)</f>
        <v>0</v>
      </c>
      <c r="I144" s="105">
        <f>SUMIF(歳出!I:I,精算表!A144,歳出!J:J)</f>
        <v>0</v>
      </c>
      <c r="J144" s="105">
        <f>SUMIF(決算整理!C:C,"NWその他（固定資産等形成分）",決算整理!E:E)+SUMIF(決算整理!C:C,"NWその他（余剰分(不足分)）",決算整理!E:E)</f>
        <v>14265410</v>
      </c>
      <c r="K144" s="106">
        <f>SUMIF(決算整理!D:D,"NWその他（固定資産等形成分）",決算整理!E:E)+SUMIF(決算整理!D:D,"NWその他（余剰分(不足分)）",決算整理!E:E)</f>
        <v>116801601</v>
      </c>
      <c r="L144" s="105"/>
      <c r="M144" s="105"/>
      <c r="N144" s="105"/>
      <c r="O144" s="105"/>
      <c r="P144" s="105">
        <f>SUMIF(相殺仕訳!J:J,"NWその他（固定資産等形成分）",相殺仕訳!L:L)+SUMIF(相殺仕訳!J:J,"NWその他（余剰分(不足分)）",相殺仕訳!L:L)</f>
        <v>0</v>
      </c>
      <c r="Q144" s="107">
        <f>SUMIF(相殺仕訳!K:K,"NWその他（固定資産等形成分）",相殺仕訳!L:L)+SUMIF(相殺仕訳!K:K,"NWその他（余剰分(不足分)）",相殺仕訳!L:L)</f>
        <v>0</v>
      </c>
      <c r="R144" s="108"/>
      <c r="S144" s="109">
        <f>E144-F144+G144-H144+I144-J144+K144-L144+M144+N144+O144-P144+Q144</f>
        <v>102536191</v>
      </c>
    </row>
    <row r="145" spans="1:19" ht="15" customHeight="1" x14ac:dyDescent="0.4">
      <c r="A145" s="297"/>
      <c r="C145" s="116" t="s">
        <v>334</v>
      </c>
      <c r="D145" s="71"/>
      <c r="E145" s="71"/>
      <c r="F145" s="71">
        <f t="shared" ref="F145:Q145" si="33">F136+SUM(F142:F144)</f>
        <v>0</v>
      </c>
      <c r="G145" s="71">
        <f t="shared" si="33"/>
        <v>4743299376</v>
      </c>
      <c r="H145" s="71">
        <f t="shared" si="33"/>
        <v>0</v>
      </c>
      <c r="I145" s="71">
        <f t="shared" si="33"/>
        <v>0</v>
      </c>
      <c r="J145" s="71">
        <f t="shared" si="33"/>
        <v>39357456</v>
      </c>
      <c r="K145" s="71">
        <f t="shared" si="33"/>
        <v>141801601</v>
      </c>
      <c r="L145" s="71">
        <f t="shared" si="33"/>
        <v>0</v>
      </c>
      <c r="M145" s="71">
        <f t="shared" si="33"/>
        <v>0</v>
      </c>
      <c r="N145" s="71">
        <f t="shared" si="33"/>
        <v>0</v>
      </c>
      <c r="O145" s="71">
        <f t="shared" si="33"/>
        <v>0</v>
      </c>
      <c r="P145" s="71">
        <f t="shared" si="33"/>
        <v>0</v>
      </c>
      <c r="Q145" s="117">
        <f t="shared" si="33"/>
        <v>0</v>
      </c>
      <c r="R145" s="118"/>
      <c r="S145" s="119">
        <f>S136+SUM(S142:S144)</f>
        <v>295125736</v>
      </c>
    </row>
    <row r="146" spans="1:19" ht="15" customHeight="1" thickBot="1" x14ac:dyDescent="0.45">
      <c r="A146" s="297"/>
      <c r="C146" s="154" t="s">
        <v>481</v>
      </c>
      <c r="D146" s="156"/>
      <c r="E146" s="156"/>
      <c r="F146" s="156"/>
      <c r="G146" s="156"/>
      <c r="H146" s="156"/>
      <c r="I146" s="156"/>
      <c r="J146" s="156"/>
      <c r="K146" s="157"/>
      <c r="L146" s="156">
        <f>L131+L145</f>
        <v>0</v>
      </c>
      <c r="M146" s="156">
        <f>M131+M145</f>
        <v>0</v>
      </c>
      <c r="N146" s="156">
        <f>N131+N145</f>
        <v>0</v>
      </c>
      <c r="O146" s="156"/>
      <c r="P146" s="156"/>
      <c r="Q146" s="174"/>
      <c r="R146" s="158"/>
      <c r="S146" s="159">
        <f>S131+S145</f>
        <v>9263455115</v>
      </c>
    </row>
    <row r="147" spans="1:19" ht="15" customHeight="1" x14ac:dyDescent="0.4">
      <c r="A147" s="297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</row>
    <row r="148" spans="1:19" ht="15" customHeight="1" thickBot="1" x14ac:dyDescent="0.45">
      <c r="A148" s="297"/>
      <c r="C148" s="90" t="s">
        <v>482</v>
      </c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</row>
    <row r="149" spans="1:19" ht="15" customHeight="1" x14ac:dyDescent="0.4">
      <c r="A149" s="297"/>
      <c r="C149" s="387" t="s">
        <v>365</v>
      </c>
      <c r="D149" s="382" t="s">
        <v>421</v>
      </c>
      <c r="E149" s="383"/>
      <c r="F149" s="382" t="s">
        <v>422</v>
      </c>
      <c r="G149" s="383"/>
      <c r="H149" s="382" t="s">
        <v>231</v>
      </c>
      <c r="I149" s="383"/>
      <c r="J149" s="382" t="s">
        <v>423</v>
      </c>
      <c r="K149" s="389"/>
      <c r="L149" s="382" t="s">
        <v>424</v>
      </c>
      <c r="M149" s="383"/>
      <c r="N149" s="382"/>
      <c r="O149" s="383"/>
      <c r="P149" s="382" t="s">
        <v>425</v>
      </c>
      <c r="Q149" s="384"/>
      <c r="R149" s="385" t="s">
        <v>426</v>
      </c>
      <c r="S149" s="386"/>
    </row>
    <row r="150" spans="1:19" ht="15" customHeight="1" x14ac:dyDescent="0.4">
      <c r="A150" s="297"/>
      <c r="C150" s="388"/>
      <c r="D150" s="92" t="s">
        <v>234</v>
      </c>
      <c r="E150" s="92" t="s">
        <v>235</v>
      </c>
      <c r="F150" s="92" t="s">
        <v>234</v>
      </c>
      <c r="G150" s="92" t="s">
        <v>235</v>
      </c>
      <c r="H150" s="92" t="s">
        <v>234</v>
      </c>
      <c r="I150" s="92" t="s">
        <v>235</v>
      </c>
      <c r="J150" s="92" t="s">
        <v>234</v>
      </c>
      <c r="K150" s="93" t="s">
        <v>235</v>
      </c>
      <c r="L150" s="92" t="s">
        <v>234</v>
      </c>
      <c r="M150" s="92" t="s">
        <v>235</v>
      </c>
      <c r="N150" s="92" t="s">
        <v>234</v>
      </c>
      <c r="O150" s="92" t="s">
        <v>235</v>
      </c>
      <c r="P150" s="92" t="s">
        <v>234</v>
      </c>
      <c r="Q150" s="175" t="s">
        <v>235</v>
      </c>
      <c r="R150" s="94" t="s">
        <v>234</v>
      </c>
      <c r="S150" s="95" t="s">
        <v>235</v>
      </c>
    </row>
    <row r="151" spans="1:19" ht="15" customHeight="1" x14ac:dyDescent="0.4">
      <c r="A151" s="297"/>
      <c r="C151" s="96" t="s">
        <v>483</v>
      </c>
      <c r="D151" s="64"/>
      <c r="E151" s="64"/>
      <c r="F151" s="64"/>
      <c r="G151" s="64"/>
      <c r="H151" s="64"/>
      <c r="I151" s="64"/>
      <c r="J151" s="64"/>
      <c r="K151" s="97"/>
      <c r="L151" s="64"/>
      <c r="M151" s="64"/>
      <c r="N151" s="64"/>
      <c r="O151" s="64"/>
      <c r="P151" s="64"/>
      <c r="Q151" s="98"/>
      <c r="R151" s="99"/>
      <c r="S151" s="100"/>
    </row>
    <row r="152" spans="1:19" ht="15" customHeight="1" x14ac:dyDescent="0.4">
      <c r="A152" s="297"/>
      <c r="C152" s="101" t="s">
        <v>484</v>
      </c>
      <c r="D152" s="68"/>
      <c r="E152" s="68"/>
      <c r="F152" s="68">
        <f>F153+F158</f>
        <v>0</v>
      </c>
      <c r="G152" s="68">
        <f t="shared" ref="G152:S152" si="34">G153+G158</f>
        <v>0</v>
      </c>
      <c r="H152" s="68">
        <f t="shared" si="34"/>
        <v>0</v>
      </c>
      <c r="I152" s="68">
        <f t="shared" si="34"/>
        <v>4230919286</v>
      </c>
      <c r="J152" s="68">
        <f t="shared" si="34"/>
        <v>0</v>
      </c>
      <c r="K152" s="102">
        <f t="shared" si="34"/>
        <v>0</v>
      </c>
      <c r="L152" s="68">
        <f t="shared" si="34"/>
        <v>0</v>
      </c>
      <c r="M152" s="68">
        <f t="shared" si="34"/>
        <v>0</v>
      </c>
      <c r="N152" s="68">
        <f>N153+N158</f>
        <v>0</v>
      </c>
      <c r="O152" s="68">
        <f>O153+O158</f>
        <v>0</v>
      </c>
      <c r="P152" s="68">
        <f t="shared" si="34"/>
        <v>0</v>
      </c>
      <c r="Q152" s="120">
        <f t="shared" si="34"/>
        <v>0</v>
      </c>
      <c r="R152" s="103"/>
      <c r="S152" s="104">
        <f t="shared" si="34"/>
        <v>4230919286</v>
      </c>
    </row>
    <row r="153" spans="1:19" ht="15" customHeight="1" x14ac:dyDescent="0.4">
      <c r="A153" s="297"/>
      <c r="C153" s="101" t="s">
        <v>485</v>
      </c>
      <c r="D153" s="68"/>
      <c r="E153" s="68"/>
      <c r="F153" s="68">
        <f>SUM(F154:F157)</f>
        <v>0</v>
      </c>
      <c r="G153" s="68">
        <f t="shared" ref="G153:S153" si="35">SUM(G154:G157)</f>
        <v>0</v>
      </c>
      <c r="H153" s="68">
        <f t="shared" si="35"/>
        <v>0</v>
      </c>
      <c r="I153" s="68">
        <f t="shared" si="35"/>
        <v>2071725836</v>
      </c>
      <c r="J153" s="68">
        <f t="shared" si="35"/>
        <v>0</v>
      </c>
      <c r="K153" s="102">
        <f t="shared" si="35"/>
        <v>0</v>
      </c>
      <c r="L153" s="68">
        <f t="shared" si="35"/>
        <v>0</v>
      </c>
      <c r="M153" s="68">
        <f t="shared" si="35"/>
        <v>0</v>
      </c>
      <c r="N153" s="68">
        <f>SUM(N154:N157)</f>
        <v>0</v>
      </c>
      <c r="O153" s="68">
        <f>SUM(O154:O157)</f>
        <v>0</v>
      </c>
      <c r="P153" s="68">
        <f t="shared" si="35"/>
        <v>0</v>
      </c>
      <c r="Q153" s="120">
        <f t="shared" si="35"/>
        <v>0</v>
      </c>
      <c r="R153" s="103"/>
      <c r="S153" s="104">
        <f t="shared" si="35"/>
        <v>2071725836</v>
      </c>
    </row>
    <row r="154" spans="1:19" ht="15" customHeight="1" x14ac:dyDescent="0.4">
      <c r="A154" s="297" t="s">
        <v>85</v>
      </c>
      <c r="C154" s="101" t="s">
        <v>486</v>
      </c>
      <c r="D154" s="68"/>
      <c r="E154" s="68"/>
      <c r="F154" s="105">
        <f>SUMIF(歳入!I:I,精算表!A154,歳入!K:K)</f>
        <v>0</v>
      </c>
      <c r="G154" s="105">
        <f>SUMIF(歳入!J:J,精算表!A154,歳入!K:K)</f>
        <v>0</v>
      </c>
      <c r="H154" s="105">
        <f>SUMIF(歳出!H:H,精算表!A154,歳出!J:J)</f>
        <v>0</v>
      </c>
      <c r="I154" s="105">
        <f>SUMIF(歳出!I:I,精算表!A154,歳出!J:J)</f>
        <v>1123561585</v>
      </c>
      <c r="J154" s="105">
        <f>SUMIF(決算整理!C:C,精算表!A154,決算整理!E:E)</f>
        <v>0</v>
      </c>
      <c r="K154" s="106">
        <f>SUMIF(決算整理!D:D,精算表!A154,決算整理!E:E)</f>
        <v>0</v>
      </c>
      <c r="L154" s="105"/>
      <c r="M154" s="105"/>
      <c r="N154" s="105"/>
      <c r="O154" s="105"/>
      <c r="P154" s="105">
        <f>SUMIF(相殺仕訳!J:J,精算表!A154,相殺仕訳!L:L)</f>
        <v>0</v>
      </c>
      <c r="Q154" s="107">
        <f>SUMIF(相殺仕訳!K:K,精算表!A154,相殺仕訳!L:L)</f>
        <v>0</v>
      </c>
      <c r="R154" s="108"/>
      <c r="S154" s="109">
        <f>E154-F154+G154-H154+I154-J154+K154-L154+M154-N154+O154-P154+Q154</f>
        <v>1123561585</v>
      </c>
    </row>
    <row r="155" spans="1:19" ht="15" customHeight="1" x14ac:dyDescent="0.4">
      <c r="A155" s="297" t="s">
        <v>86</v>
      </c>
      <c r="C155" s="101" t="s">
        <v>487</v>
      </c>
      <c r="D155" s="68"/>
      <c r="E155" s="68"/>
      <c r="F155" s="105">
        <f>SUMIF(歳入!I:I,精算表!A155,歳入!K:K)</f>
        <v>0</v>
      </c>
      <c r="G155" s="105">
        <f>SUMIF(歳入!J:J,精算表!A155,歳入!K:K)</f>
        <v>0</v>
      </c>
      <c r="H155" s="105">
        <f>SUMIF(歳出!H:H,精算表!A155,歳出!J:J)</f>
        <v>0</v>
      </c>
      <c r="I155" s="105">
        <f>SUMIF(歳出!I:I,精算表!A155,歳出!J:J)</f>
        <v>885954537</v>
      </c>
      <c r="J155" s="105">
        <f>SUMIF(決算整理!C:C,精算表!A155,決算整理!E:E)</f>
        <v>0</v>
      </c>
      <c r="K155" s="106">
        <f>SUMIF(決算整理!D:D,精算表!A155,決算整理!E:E)</f>
        <v>0</v>
      </c>
      <c r="L155" s="105"/>
      <c r="M155" s="105"/>
      <c r="N155" s="105"/>
      <c r="O155" s="105"/>
      <c r="P155" s="105">
        <f>SUMIF(相殺仕訳!J:J,精算表!A155,相殺仕訳!L:L)</f>
        <v>0</v>
      </c>
      <c r="Q155" s="107">
        <f>SUMIF(相殺仕訳!K:K,精算表!A155,相殺仕訳!L:L)</f>
        <v>0</v>
      </c>
      <c r="R155" s="108"/>
      <c r="S155" s="109">
        <f>E155-F155+G155-H155+I155-J155+K155-L155+M155-N155+O155-P155+Q155</f>
        <v>885954537</v>
      </c>
    </row>
    <row r="156" spans="1:19" ht="15" customHeight="1" x14ac:dyDescent="0.4">
      <c r="A156" s="297" t="s">
        <v>87</v>
      </c>
      <c r="C156" s="101" t="s">
        <v>488</v>
      </c>
      <c r="D156" s="68"/>
      <c r="E156" s="68"/>
      <c r="F156" s="105">
        <f>SUMIF(歳入!I:I,精算表!A156,歳入!K:K)</f>
        <v>0</v>
      </c>
      <c r="G156" s="105">
        <f>SUMIF(歳入!J:J,精算表!A156,歳入!K:K)</f>
        <v>0</v>
      </c>
      <c r="H156" s="105">
        <f>SUMIF(歳出!H:H,精算表!A156,歳出!J:J)</f>
        <v>0</v>
      </c>
      <c r="I156" s="105">
        <f>SUMIF(歳出!I:I,精算表!A156,歳出!J:J)</f>
        <v>13930964</v>
      </c>
      <c r="J156" s="105">
        <f>SUMIF(決算整理!C:C,精算表!A156,決算整理!E:E)</f>
        <v>0</v>
      </c>
      <c r="K156" s="106">
        <f>SUMIF(決算整理!D:D,精算表!A156,決算整理!E:E)</f>
        <v>0</v>
      </c>
      <c r="L156" s="105"/>
      <c r="M156" s="105"/>
      <c r="N156" s="105"/>
      <c r="O156" s="105"/>
      <c r="P156" s="105">
        <f>SUMIF(相殺仕訳!J:J,精算表!A156,相殺仕訳!L:L)</f>
        <v>0</v>
      </c>
      <c r="Q156" s="107">
        <f>SUMIF(相殺仕訳!K:K,精算表!A156,相殺仕訳!L:L)</f>
        <v>0</v>
      </c>
      <c r="R156" s="108"/>
      <c r="S156" s="109">
        <f>E156-F156+G156-H156+I156-J156+K156-L156+M156-N156+O156-P156+Q156</f>
        <v>13930964</v>
      </c>
    </row>
    <row r="157" spans="1:19" ht="15" customHeight="1" x14ac:dyDescent="0.4">
      <c r="A157" s="297" t="s">
        <v>88</v>
      </c>
      <c r="C157" s="101" t="s">
        <v>489</v>
      </c>
      <c r="D157" s="68"/>
      <c r="E157" s="68"/>
      <c r="F157" s="105">
        <f>SUMIF(歳入!I:I,精算表!A157,歳入!K:K)</f>
        <v>0</v>
      </c>
      <c r="G157" s="105">
        <f>SUMIF(歳入!J:J,精算表!A157,歳入!K:K)</f>
        <v>0</v>
      </c>
      <c r="H157" s="105">
        <f>SUMIF(歳出!H:H,精算表!A157,歳出!J:J)</f>
        <v>0</v>
      </c>
      <c r="I157" s="105">
        <f>SUMIF(歳出!I:I,精算表!A157,歳出!J:J)</f>
        <v>48278750</v>
      </c>
      <c r="J157" s="105">
        <f>SUMIF(決算整理!C:C,精算表!A157,決算整理!E:E)</f>
        <v>0</v>
      </c>
      <c r="K157" s="106">
        <f>SUMIF(決算整理!D:D,精算表!A157,決算整理!E:E)</f>
        <v>0</v>
      </c>
      <c r="L157" s="105"/>
      <c r="M157" s="105"/>
      <c r="N157" s="105"/>
      <c r="O157" s="105"/>
      <c r="P157" s="105">
        <f>SUMIF(相殺仕訳!J:J,精算表!A157,相殺仕訳!L:L)</f>
        <v>0</v>
      </c>
      <c r="Q157" s="107">
        <f>SUMIF(相殺仕訳!K:K,精算表!A157,相殺仕訳!L:L)</f>
        <v>0</v>
      </c>
      <c r="R157" s="108"/>
      <c r="S157" s="109">
        <f>E157-F157+G157-H157+I157-J157+K157-L157+M157-N157+O157-P157+Q157</f>
        <v>48278750</v>
      </c>
    </row>
    <row r="158" spans="1:19" ht="15" customHeight="1" x14ac:dyDescent="0.4">
      <c r="A158" s="297"/>
      <c r="C158" s="101" t="s">
        <v>490</v>
      </c>
      <c r="D158" s="68"/>
      <c r="E158" s="68"/>
      <c r="F158" s="68">
        <f>SUM(F159:F162)</f>
        <v>0</v>
      </c>
      <c r="G158" s="68">
        <f t="shared" ref="G158:S158" si="36">SUM(G159:G162)</f>
        <v>0</v>
      </c>
      <c r="H158" s="68">
        <f t="shared" si="36"/>
        <v>0</v>
      </c>
      <c r="I158" s="68">
        <f t="shared" si="36"/>
        <v>2159193450</v>
      </c>
      <c r="J158" s="68">
        <f t="shared" si="36"/>
        <v>0</v>
      </c>
      <c r="K158" s="102">
        <f t="shared" si="36"/>
        <v>0</v>
      </c>
      <c r="L158" s="68">
        <f t="shared" si="36"/>
        <v>0</v>
      </c>
      <c r="M158" s="102">
        <f t="shared" si="36"/>
        <v>0</v>
      </c>
      <c r="N158" s="68">
        <f>SUM(N159:N162)</f>
        <v>0</v>
      </c>
      <c r="O158" s="102">
        <f>SUM(O159:O162)</f>
        <v>0</v>
      </c>
      <c r="P158" s="68">
        <f t="shared" si="36"/>
        <v>0</v>
      </c>
      <c r="Q158" s="102">
        <f t="shared" si="36"/>
        <v>0</v>
      </c>
      <c r="R158" s="103"/>
      <c r="S158" s="104">
        <f t="shared" si="36"/>
        <v>2159193450</v>
      </c>
    </row>
    <row r="159" spans="1:19" ht="15" customHeight="1" x14ac:dyDescent="0.4">
      <c r="A159" s="297" t="s">
        <v>89</v>
      </c>
      <c r="C159" s="101" t="s">
        <v>491</v>
      </c>
      <c r="D159" s="68"/>
      <c r="E159" s="68"/>
      <c r="F159" s="105">
        <f>SUMIF(歳入!I:I,精算表!A159,歳入!K:K)</f>
        <v>0</v>
      </c>
      <c r="G159" s="105">
        <f>SUMIF(歳入!J:J,精算表!A159,歳入!K:K)</f>
        <v>0</v>
      </c>
      <c r="H159" s="105">
        <f>SUMIF(歳出!H:H,精算表!A159,歳出!J:J)</f>
        <v>0</v>
      </c>
      <c r="I159" s="105">
        <f>SUMIF(歳出!I:I,精算表!A159,歳出!J:J)</f>
        <v>1224815066</v>
      </c>
      <c r="J159" s="105">
        <f>SUMIF(決算整理!C:C,精算表!A159,決算整理!E:E)</f>
        <v>0</v>
      </c>
      <c r="K159" s="106">
        <f>SUMIF(決算整理!D:D,精算表!A159,決算整理!E:E)</f>
        <v>0</v>
      </c>
      <c r="L159" s="105"/>
      <c r="M159" s="105"/>
      <c r="N159" s="105"/>
      <c r="O159" s="105"/>
      <c r="P159" s="105">
        <f>SUMIF(相殺仕訳!J:J,精算表!A159,相殺仕訳!L:L)</f>
        <v>0</v>
      </c>
      <c r="Q159" s="107">
        <f>SUMIF(相殺仕訳!K:K,精算表!A159,相殺仕訳!L:L)</f>
        <v>0</v>
      </c>
      <c r="R159" s="108"/>
      <c r="S159" s="109">
        <f>E159-F159+G159-H159+I159-J159+K159-L159+M159-N159+O159-P159+Q159</f>
        <v>1224815066</v>
      </c>
    </row>
    <row r="160" spans="1:19" ht="15" customHeight="1" x14ac:dyDescent="0.4">
      <c r="A160" s="297" t="s">
        <v>90</v>
      </c>
      <c r="C160" s="101" t="s">
        <v>492</v>
      </c>
      <c r="D160" s="68"/>
      <c r="E160" s="68"/>
      <c r="F160" s="105">
        <f>SUMIF(歳入!I:I,精算表!A160,歳入!K:K)</f>
        <v>0</v>
      </c>
      <c r="G160" s="105">
        <f>SUMIF(歳入!J:J,精算表!A160,歳入!K:K)</f>
        <v>0</v>
      </c>
      <c r="H160" s="105">
        <f>SUMIF(歳出!H:H,精算表!A160,歳出!J:J)</f>
        <v>0</v>
      </c>
      <c r="I160" s="105">
        <f>SUMIF(歳出!I:I,精算表!A160,歳出!J:J)</f>
        <v>460155840</v>
      </c>
      <c r="J160" s="105">
        <f>SUMIF(決算整理!C:C,精算表!A160,決算整理!E:E)</f>
        <v>0</v>
      </c>
      <c r="K160" s="106">
        <f>SUMIF(決算整理!D:D,精算表!A160,決算整理!E:E)</f>
        <v>0</v>
      </c>
      <c r="L160" s="105"/>
      <c r="M160" s="105"/>
      <c r="N160" s="105"/>
      <c r="O160" s="105"/>
      <c r="P160" s="105">
        <f>SUMIF(相殺仕訳!J:J,精算表!A160,相殺仕訳!L:L)</f>
        <v>0</v>
      </c>
      <c r="Q160" s="107">
        <f>SUMIF(相殺仕訳!K:K,精算表!A160,相殺仕訳!L:L)</f>
        <v>0</v>
      </c>
      <c r="R160" s="108"/>
      <c r="S160" s="109">
        <f>E160-F160+G160-H160+I160-J160+K160-L160+M160-N160+O160-P160+Q160</f>
        <v>460155840</v>
      </c>
    </row>
    <row r="161" spans="1:19" ht="15" customHeight="1" x14ac:dyDescent="0.4">
      <c r="A161" s="297" t="s">
        <v>91</v>
      </c>
      <c r="C161" s="101" t="s">
        <v>493</v>
      </c>
      <c r="D161" s="68"/>
      <c r="E161" s="68"/>
      <c r="F161" s="105">
        <f>SUMIF(歳入!I:I,精算表!A161,歳入!K:K)</f>
        <v>0</v>
      </c>
      <c r="G161" s="105">
        <f>SUMIF(歳入!J:J,精算表!A161,歳入!K:K)</f>
        <v>0</v>
      </c>
      <c r="H161" s="105">
        <f>SUMIF(歳出!H:H,精算表!A161,歳出!J:J)</f>
        <v>0</v>
      </c>
      <c r="I161" s="105">
        <f>SUMIF(歳出!I:I,精算表!A161,歳出!J:J)</f>
        <v>473845014</v>
      </c>
      <c r="J161" s="105">
        <f>SUMIF(決算整理!C:C,精算表!A161,決算整理!E:E)</f>
        <v>0</v>
      </c>
      <c r="K161" s="106">
        <f>SUMIF(決算整理!D:D,精算表!A161,決算整理!E:E)</f>
        <v>0</v>
      </c>
      <c r="L161" s="105"/>
      <c r="M161" s="105"/>
      <c r="N161" s="105"/>
      <c r="O161" s="105"/>
      <c r="P161" s="105">
        <f>SUMIF(相殺仕訳!J:J,精算表!A161,相殺仕訳!L:L)</f>
        <v>0</v>
      </c>
      <c r="Q161" s="107">
        <f>SUMIF(相殺仕訳!K:K,精算表!A161,相殺仕訳!L:L)</f>
        <v>0</v>
      </c>
      <c r="R161" s="108"/>
      <c r="S161" s="109">
        <f>E161-F161+G161-H161+I161-J161+K161-L161+M161-N161+O161-P161+Q161</f>
        <v>473845014</v>
      </c>
    </row>
    <row r="162" spans="1:19" ht="15" customHeight="1" x14ac:dyDescent="0.4">
      <c r="A162" s="297" t="s">
        <v>92</v>
      </c>
      <c r="C162" s="101" t="s">
        <v>489</v>
      </c>
      <c r="D162" s="68"/>
      <c r="E162" s="68"/>
      <c r="F162" s="105">
        <f>SUMIF(歳入!I:I,精算表!A162,歳入!K:K)</f>
        <v>0</v>
      </c>
      <c r="G162" s="105">
        <f>SUMIF(歳入!J:J,精算表!A162,歳入!K:K)</f>
        <v>0</v>
      </c>
      <c r="H162" s="105">
        <f>SUMIF(歳出!H:H,精算表!A162,歳出!J:J)</f>
        <v>0</v>
      </c>
      <c r="I162" s="105">
        <f>SUMIF(歳出!I:I,精算表!A162,歳出!J:J)</f>
        <v>377530</v>
      </c>
      <c r="J162" s="105">
        <f>SUMIF(決算整理!C:C,精算表!A162,決算整理!E:E)</f>
        <v>0</v>
      </c>
      <c r="K162" s="106">
        <f>SUMIF(決算整理!D:D,精算表!A162,決算整理!E:E)</f>
        <v>0</v>
      </c>
      <c r="L162" s="105"/>
      <c r="M162" s="105"/>
      <c r="N162" s="105"/>
      <c r="O162" s="105"/>
      <c r="P162" s="105">
        <f>SUMIF(相殺仕訳!J:J,精算表!A162,相殺仕訳!L:L)</f>
        <v>0</v>
      </c>
      <c r="Q162" s="107">
        <f>SUMIF(相殺仕訳!K:K,精算表!A162,相殺仕訳!L:L)</f>
        <v>0</v>
      </c>
      <c r="R162" s="108"/>
      <c r="S162" s="109">
        <f>E162-F162+G162-H162+I162-J162+K162-L162+M162-N162+O162-P162+Q162</f>
        <v>377530</v>
      </c>
    </row>
    <row r="163" spans="1:19" ht="15" customHeight="1" x14ac:dyDescent="0.4">
      <c r="A163" s="297"/>
      <c r="C163" s="101" t="s">
        <v>494</v>
      </c>
      <c r="D163" s="68"/>
      <c r="E163" s="68"/>
      <c r="F163" s="68">
        <f>SUM(F164:F167)</f>
        <v>4851981450</v>
      </c>
      <c r="G163" s="68">
        <f t="shared" ref="G163:R163" si="37">SUM(G164:G167)</f>
        <v>0</v>
      </c>
      <c r="H163" s="68">
        <f t="shared" si="37"/>
        <v>0</v>
      </c>
      <c r="I163" s="68">
        <f t="shared" si="37"/>
        <v>0</v>
      </c>
      <c r="J163" s="68">
        <f t="shared" si="37"/>
        <v>0</v>
      </c>
      <c r="K163" s="102">
        <f t="shared" si="37"/>
        <v>0</v>
      </c>
      <c r="L163" s="68">
        <f t="shared" si="37"/>
        <v>0</v>
      </c>
      <c r="M163" s="102">
        <f t="shared" si="37"/>
        <v>0</v>
      </c>
      <c r="N163" s="68">
        <f>SUM(N164:N167)</f>
        <v>0</v>
      </c>
      <c r="O163" s="102">
        <f>SUM(O164:O167)</f>
        <v>0</v>
      </c>
      <c r="P163" s="68">
        <f t="shared" si="37"/>
        <v>0</v>
      </c>
      <c r="Q163" s="102">
        <f t="shared" si="37"/>
        <v>0</v>
      </c>
      <c r="R163" s="103">
        <f t="shared" si="37"/>
        <v>4851981450</v>
      </c>
      <c r="S163" s="104"/>
    </row>
    <row r="164" spans="1:19" ht="15" customHeight="1" x14ac:dyDescent="0.4">
      <c r="A164" s="297" t="s">
        <v>93</v>
      </c>
      <c r="C164" s="101" t="s">
        <v>495</v>
      </c>
      <c r="D164" s="68"/>
      <c r="E164" s="68"/>
      <c r="F164" s="105">
        <f>SUMIF(歳入!I:I,精算表!A164,歳入!K:K)</f>
        <v>3840421429</v>
      </c>
      <c r="G164" s="105">
        <f>SUMIF(歳入!J:J,精算表!A164,歳入!K:K)</f>
        <v>0</v>
      </c>
      <c r="H164" s="105">
        <f>SUMIF(歳出!H:H,精算表!A164,歳出!J:J)</f>
        <v>0</v>
      </c>
      <c r="I164" s="105">
        <f>SUMIF(歳出!I:I,精算表!A164,歳出!J:J)</f>
        <v>0</v>
      </c>
      <c r="J164" s="105">
        <f>SUMIF(決算整理!C:C,精算表!A164,決算整理!E:E)</f>
        <v>0</v>
      </c>
      <c r="K164" s="106">
        <f>SUMIF(決算整理!D:D,精算表!A164,決算整理!E:E)</f>
        <v>0</v>
      </c>
      <c r="L164" s="105"/>
      <c r="M164" s="105"/>
      <c r="N164" s="105"/>
      <c r="O164" s="105"/>
      <c r="P164" s="105">
        <f>SUMIF(相殺仕訳!J:J,精算表!A164,相殺仕訳!L:L)</f>
        <v>0</v>
      </c>
      <c r="Q164" s="107">
        <f>SUMIF(相殺仕訳!K:K,精算表!A164,相殺仕訳!L:L)</f>
        <v>0</v>
      </c>
      <c r="R164" s="108">
        <f>D164+F164-G164+H164-I164+J164-K164+L164-M164+N164-O164+P164-Q164</f>
        <v>3840421429</v>
      </c>
      <c r="S164" s="109"/>
    </row>
    <row r="165" spans="1:19" ht="15" customHeight="1" x14ac:dyDescent="0.4">
      <c r="A165" s="297" t="s">
        <v>94</v>
      </c>
      <c r="C165" s="101" t="s">
        <v>496</v>
      </c>
      <c r="D165" s="68"/>
      <c r="E165" s="68"/>
      <c r="F165" s="105">
        <f>SUMIF(歳入!I:I,精算表!A165,歳入!K:K)</f>
        <v>871265928</v>
      </c>
      <c r="G165" s="105">
        <f>SUMIF(歳入!J:J,精算表!A165,歳入!K:K)</f>
        <v>0</v>
      </c>
      <c r="H165" s="105">
        <f>SUMIF(歳出!H:H,精算表!A165,歳出!J:J)</f>
        <v>0</v>
      </c>
      <c r="I165" s="105">
        <f>SUMIF(歳出!I:I,精算表!A165,歳出!J:J)</f>
        <v>0</v>
      </c>
      <c r="J165" s="105">
        <f>SUMIF(決算整理!C:C,精算表!A165,決算整理!E:E)</f>
        <v>0</v>
      </c>
      <c r="K165" s="106">
        <f>SUMIF(決算整理!D:D,精算表!A165,決算整理!E:E)</f>
        <v>0</v>
      </c>
      <c r="L165" s="105"/>
      <c r="M165" s="105"/>
      <c r="N165" s="105"/>
      <c r="O165" s="105"/>
      <c r="P165" s="105">
        <f>SUMIF(相殺仕訳!J:J,精算表!A165,相殺仕訳!L:L)</f>
        <v>0</v>
      </c>
      <c r="Q165" s="107">
        <f>SUMIF(相殺仕訳!K:K,精算表!A165,相殺仕訳!L:L)</f>
        <v>0</v>
      </c>
      <c r="R165" s="108">
        <f>D165+F165-G165+H165-I165+J165-K165+L165-M165+N165-O165+P165-Q165</f>
        <v>871265928</v>
      </c>
      <c r="S165" s="109"/>
    </row>
    <row r="166" spans="1:19" ht="15" customHeight="1" x14ac:dyDescent="0.4">
      <c r="A166" s="297" t="s">
        <v>95</v>
      </c>
      <c r="C166" s="101" t="s">
        <v>497</v>
      </c>
      <c r="D166" s="68"/>
      <c r="E166" s="68"/>
      <c r="F166" s="105">
        <f>SUMIF(歳入!I:I,精算表!A166,歳入!K:K)</f>
        <v>50410248</v>
      </c>
      <c r="G166" s="105">
        <f>SUMIF(歳入!J:J,精算表!A166,歳入!K:K)</f>
        <v>0</v>
      </c>
      <c r="H166" s="105">
        <f>SUMIF(歳出!H:H,精算表!A166,歳出!J:J)</f>
        <v>0</v>
      </c>
      <c r="I166" s="105">
        <f>SUMIF(歳出!I:I,精算表!A166,歳出!J:J)</f>
        <v>0</v>
      </c>
      <c r="J166" s="105">
        <f>SUMIF(決算整理!C:C,精算表!A166,決算整理!E:E)</f>
        <v>0</v>
      </c>
      <c r="K166" s="106">
        <f>SUMIF(決算整理!D:D,精算表!A166,決算整理!E:E)</f>
        <v>0</v>
      </c>
      <c r="L166" s="105"/>
      <c r="M166" s="105"/>
      <c r="N166" s="105"/>
      <c r="O166" s="105"/>
      <c r="P166" s="105">
        <f>SUMIF(相殺仕訳!J:J,精算表!A166,相殺仕訳!L:L)</f>
        <v>0</v>
      </c>
      <c r="Q166" s="107">
        <f>SUMIF(相殺仕訳!K:K,精算表!A166,相殺仕訳!L:L)</f>
        <v>0</v>
      </c>
      <c r="R166" s="108">
        <f>D166+F166-G166+H166-I166+J166-K166+L166-M166+N166-O166+P166-Q166</f>
        <v>50410248</v>
      </c>
      <c r="S166" s="109"/>
    </row>
    <row r="167" spans="1:19" ht="15" customHeight="1" x14ac:dyDescent="0.4">
      <c r="A167" s="297" t="s">
        <v>96</v>
      </c>
      <c r="C167" s="101" t="s">
        <v>498</v>
      </c>
      <c r="D167" s="68"/>
      <c r="E167" s="68"/>
      <c r="F167" s="105">
        <f>SUMIF(歳入!I:I,精算表!A167,歳入!K:K)</f>
        <v>89883845</v>
      </c>
      <c r="G167" s="105">
        <f>SUMIF(歳入!J:J,精算表!A167,歳入!K:K)</f>
        <v>0</v>
      </c>
      <c r="H167" s="105">
        <f>SUMIF(歳出!H:H,精算表!A167,歳出!J:J)</f>
        <v>0</v>
      </c>
      <c r="I167" s="105">
        <f>SUMIF(歳出!I:I,精算表!A167,歳出!J:J)</f>
        <v>0</v>
      </c>
      <c r="J167" s="105">
        <f>SUMIF(決算整理!C:C,精算表!A167,決算整理!E:E)</f>
        <v>0</v>
      </c>
      <c r="K167" s="106">
        <f>SUMIF(決算整理!D:D,精算表!A167,決算整理!E:E)</f>
        <v>0</v>
      </c>
      <c r="L167" s="105"/>
      <c r="M167" s="105"/>
      <c r="N167" s="105"/>
      <c r="O167" s="105"/>
      <c r="P167" s="105">
        <f>SUMIF(相殺仕訳!J:J,精算表!A167,相殺仕訳!L:L)</f>
        <v>0</v>
      </c>
      <c r="Q167" s="107">
        <f>SUMIF(相殺仕訳!K:K,精算表!A167,相殺仕訳!L:L)</f>
        <v>0</v>
      </c>
      <c r="R167" s="108">
        <f>D167+F167-G167+H167-I167+J167-K167+L167-M167+N167-O167+P167-Q167</f>
        <v>89883845</v>
      </c>
      <c r="S167" s="109"/>
    </row>
    <row r="168" spans="1:19" ht="15" customHeight="1" x14ac:dyDescent="0.4">
      <c r="A168" s="297"/>
      <c r="C168" s="101" t="s">
        <v>499</v>
      </c>
      <c r="D168" s="68"/>
      <c r="E168" s="68"/>
      <c r="F168" s="68">
        <f>SUM(F169:F170)</f>
        <v>0</v>
      </c>
      <c r="G168" s="68">
        <f t="shared" ref="G168:S168" si="38">SUM(G169:G170)</f>
        <v>0</v>
      </c>
      <c r="H168" s="68">
        <f t="shared" si="38"/>
        <v>0</v>
      </c>
      <c r="I168" s="68">
        <f t="shared" si="38"/>
        <v>0</v>
      </c>
      <c r="J168" s="68">
        <f t="shared" si="38"/>
        <v>0</v>
      </c>
      <c r="K168" s="102">
        <f t="shared" si="38"/>
        <v>0</v>
      </c>
      <c r="L168" s="68">
        <f t="shared" si="38"/>
        <v>0</v>
      </c>
      <c r="M168" s="102">
        <f t="shared" si="38"/>
        <v>0</v>
      </c>
      <c r="N168" s="68">
        <f>SUM(N169:N170)</f>
        <v>0</v>
      </c>
      <c r="O168" s="102">
        <f>SUM(O169:O170)</f>
        <v>0</v>
      </c>
      <c r="P168" s="68">
        <f t="shared" si="38"/>
        <v>0</v>
      </c>
      <c r="Q168" s="102">
        <f t="shared" si="38"/>
        <v>0</v>
      </c>
      <c r="R168" s="103"/>
      <c r="S168" s="104">
        <f t="shared" si="38"/>
        <v>0</v>
      </c>
    </row>
    <row r="169" spans="1:19" ht="15" customHeight="1" x14ac:dyDescent="0.4">
      <c r="A169" s="297" t="s">
        <v>97</v>
      </c>
      <c r="C169" s="101" t="s">
        <v>500</v>
      </c>
      <c r="D169" s="68"/>
      <c r="E169" s="68"/>
      <c r="F169" s="105">
        <f>SUMIF(歳入!I:I,精算表!A169,歳入!K:K)</f>
        <v>0</v>
      </c>
      <c r="G169" s="105">
        <f>SUMIF(歳入!J:J,精算表!A169,歳入!K:K)</f>
        <v>0</v>
      </c>
      <c r="H169" s="105">
        <f>SUMIF(歳出!H:H,精算表!A169,歳出!J:J)</f>
        <v>0</v>
      </c>
      <c r="I169" s="105">
        <f>SUMIF(歳出!I:I,精算表!A169,歳出!J:J)</f>
        <v>0</v>
      </c>
      <c r="J169" s="105">
        <f>SUMIF(決算整理!C:C,精算表!A169,決算整理!E:E)</f>
        <v>0</v>
      </c>
      <c r="K169" s="106">
        <f>SUMIF(決算整理!D:D,精算表!A169,決算整理!E:E)</f>
        <v>0</v>
      </c>
      <c r="L169" s="105"/>
      <c r="M169" s="105"/>
      <c r="N169" s="105"/>
      <c r="O169" s="105"/>
      <c r="P169" s="105">
        <f>SUMIF(相殺仕訳!J:J,精算表!A169,相殺仕訳!L:L)</f>
        <v>0</v>
      </c>
      <c r="Q169" s="107">
        <f>SUMIF(相殺仕訳!K:K,精算表!A169,相殺仕訳!L:L)</f>
        <v>0</v>
      </c>
      <c r="R169" s="108"/>
      <c r="S169" s="109">
        <f>E169-F169+G169-H169+I169-J169+K169-L169+M169-N169+O169-P169+Q169</f>
        <v>0</v>
      </c>
    </row>
    <row r="170" spans="1:19" ht="15" customHeight="1" x14ac:dyDescent="0.4">
      <c r="A170" s="297" t="s">
        <v>98</v>
      </c>
      <c r="C170" s="101" t="s">
        <v>501</v>
      </c>
      <c r="D170" s="68"/>
      <c r="E170" s="68"/>
      <c r="F170" s="105">
        <f>SUMIF(歳入!I:I,精算表!A170,歳入!K:K)</f>
        <v>0</v>
      </c>
      <c r="G170" s="105">
        <f>SUMIF(歳入!J:J,精算表!A170,歳入!K:K)</f>
        <v>0</v>
      </c>
      <c r="H170" s="105">
        <f>SUMIF(歳出!H:H,精算表!A170,歳出!J:J)</f>
        <v>0</v>
      </c>
      <c r="I170" s="105">
        <f>SUMIF(歳出!I:I,精算表!A170,歳出!J:J)</f>
        <v>0</v>
      </c>
      <c r="J170" s="105">
        <f>SUMIF(決算整理!C:C,精算表!A170,決算整理!E:E)</f>
        <v>0</v>
      </c>
      <c r="K170" s="106">
        <f>SUMIF(決算整理!D:D,精算表!A170,決算整理!E:E)</f>
        <v>0</v>
      </c>
      <c r="L170" s="105"/>
      <c r="M170" s="105"/>
      <c r="N170" s="105"/>
      <c r="O170" s="105"/>
      <c r="P170" s="105">
        <f>SUMIF(相殺仕訳!J:J,精算表!A170,相殺仕訳!L:L)</f>
        <v>0</v>
      </c>
      <c r="Q170" s="107">
        <f>SUMIF(相殺仕訳!K:K,精算表!A170,相殺仕訳!L:L)</f>
        <v>0</v>
      </c>
      <c r="R170" s="108"/>
      <c r="S170" s="109">
        <f>E170-F170+G170-H170+I170-J170+K170-L170+M170-N170+O170-P170+Q170</f>
        <v>0</v>
      </c>
    </row>
    <row r="171" spans="1:19" ht="15" customHeight="1" x14ac:dyDescent="0.4">
      <c r="A171" s="297" t="s">
        <v>502</v>
      </c>
      <c r="C171" s="141" t="s">
        <v>503</v>
      </c>
      <c r="D171" s="163"/>
      <c r="E171" s="163"/>
      <c r="F171" s="105">
        <f>SUMIF(歳入!I:I,精算表!A171,歳入!K:K)</f>
        <v>0</v>
      </c>
      <c r="G171" s="105">
        <f>SUMIF(歳入!J:J,精算表!A171,歳入!K:K)</f>
        <v>0</v>
      </c>
      <c r="H171" s="105">
        <f>SUMIF(歳出!H:H,精算表!A171,歳出!J:J)</f>
        <v>0</v>
      </c>
      <c r="I171" s="105">
        <f>SUMIF(歳出!I:I,精算表!A171,歳出!J:J)</f>
        <v>0</v>
      </c>
      <c r="J171" s="105">
        <f>SUMIF(決算整理!C:C,精算表!A171,決算整理!E:E)</f>
        <v>0</v>
      </c>
      <c r="K171" s="106">
        <f>SUMIF(決算整理!D:D,精算表!A171,決算整理!E:E)</f>
        <v>0</v>
      </c>
      <c r="L171" s="143"/>
      <c r="M171" s="143"/>
      <c r="N171" s="143"/>
      <c r="O171" s="143"/>
      <c r="P171" s="105">
        <f>SUMIF(相殺仕訳!J:J,精算表!A171,相殺仕訳!L:L)</f>
        <v>0</v>
      </c>
      <c r="Q171" s="107">
        <f>SUMIF(相殺仕訳!K:K,精算表!A171,相殺仕訳!L:L)</f>
        <v>0</v>
      </c>
      <c r="R171" s="144">
        <f>D171+F171-G171+H171-I171+J171-K171+L171-M171+N171-O171+P171-Q171</f>
        <v>0</v>
      </c>
      <c r="S171" s="145"/>
    </row>
    <row r="172" spans="1:19" ht="15" customHeight="1" x14ac:dyDescent="0.4">
      <c r="A172" s="297"/>
      <c r="C172" s="116" t="s">
        <v>504</v>
      </c>
      <c r="D172" s="71"/>
      <c r="E172" s="71"/>
      <c r="F172" s="71">
        <f t="shared" ref="F172:Q172" si="39">-F152+F163-F168+F171</f>
        <v>4851981450</v>
      </c>
      <c r="G172" s="71">
        <f t="shared" si="39"/>
        <v>0</v>
      </c>
      <c r="H172" s="71">
        <f t="shared" si="39"/>
        <v>0</v>
      </c>
      <c r="I172" s="71">
        <f t="shared" si="39"/>
        <v>-4230919286</v>
      </c>
      <c r="J172" s="71">
        <f t="shared" si="39"/>
        <v>0</v>
      </c>
      <c r="K172" s="117">
        <f t="shared" si="39"/>
        <v>0</v>
      </c>
      <c r="L172" s="71">
        <f t="shared" si="39"/>
        <v>0</v>
      </c>
      <c r="M172" s="117">
        <f t="shared" si="39"/>
        <v>0</v>
      </c>
      <c r="N172" s="71">
        <f>-N152+N163-N168+N171</f>
        <v>0</v>
      </c>
      <c r="O172" s="117">
        <f>-O152+O163-O168+O171</f>
        <v>0</v>
      </c>
      <c r="P172" s="71">
        <f t="shared" si="39"/>
        <v>0</v>
      </c>
      <c r="Q172" s="117">
        <f t="shared" si="39"/>
        <v>0</v>
      </c>
      <c r="R172" s="118">
        <f>R163+R171-S152-S168</f>
        <v>621062164</v>
      </c>
      <c r="S172" s="119"/>
    </row>
    <row r="173" spans="1:19" ht="15" customHeight="1" x14ac:dyDescent="0.4">
      <c r="A173" s="297"/>
      <c r="C173" s="147" t="s">
        <v>505</v>
      </c>
      <c r="D173" s="149"/>
      <c r="E173" s="149"/>
      <c r="F173" s="149"/>
      <c r="G173" s="149"/>
      <c r="H173" s="149"/>
      <c r="I173" s="149"/>
      <c r="J173" s="149"/>
      <c r="K173" s="150"/>
      <c r="L173" s="149"/>
      <c r="M173" s="150"/>
      <c r="N173" s="149"/>
      <c r="O173" s="150"/>
      <c r="P173" s="149"/>
      <c r="Q173" s="150"/>
      <c r="R173" s="151"/>
      <c r="S173" s="152"/>
    </row>
    <row r="174" spans="1:19" ht="15" customHeight="1" x14ac:dyDescent="0.4">
      <c r="A174" s="297"/>
      <c r="C174" s="101" t="s">
        <v>506</v>
      </c>
      <c r="D174" s="68"/>
      <c r="E174" s="68"/>
      <c r="F174" s="68">
        <f>SUM(F175:F179)</f>
        <v>0</v>
      </c>
      <c r="G174" s="68">
        <f t="shared" ref="G174:S174" si="40">SUM(G175:G179)</f>
        <v>0</v>
      </c>
      <c r="H174" s="68">
        <f t="shared" si="40"/>
        <v>0</v>
      </c>
      <c r="I174" s="68">
        <f t="shared" si="40"/>
        <v>590958009</v>
      </c>
      <c r="J174" s="68">
        <f t="shared" si="40"/>
        <v>0</v>
      </c>
      <c r="K174" s="102">
        <f t="shared" si="40"/>
        <v>0</v>
      </c>
      <c r="L174" s="68">
        <f t="shared" si="40"/>
        <v>0</v>
      </c>
      <c r="M174" s="102">
        <f t="shared" si="40"/>
        <v>0</v>
      </c>
      <c r="N174" s="68">
        <f>SUM(N175:N179)</f>
        <v>0</v>
      </c>
      <c r="O174" s="102">
        <f>SUM(O175:O179)</f>
        <v>0</v>
      </c>
      <c r="P174" s="68">
        <f t="shared" si="40"/>
        <v>0</v>
      </c>
      <c r="Q174" s="102">
        <f t="shared" si="40"/>
        <v>0</v>
      </c>
      <c r="R174" s="103"/>
      <c r="S174" s="104">
        <f t="shared" si="40"/>
        <v>590958009</v>
      </c>
    </row>
    <row r="175" spans="1:19" ht="15" customHeight="1" x14ac:dyDescent="0.4">
      <c r="A175" s="297" t="s">
        <v>100</v>
      </c>
      <c r="C175" s="101" t="s">
        <v>507</v>
      </c>
      <c r="D175" s="68"/>
      <c r="E175" s="68"/>
      <c r="F175" s="105">
        <f>SUMIF(歳入!I:I,精算表!A175,歳入!K:K)</f>
        <v>0</v>
      </c>
      <c r="G175" s="105">
        <f>SUMIF(歳入!J:J,精算表!A175,歳入!K:K)</f>
        <v>0</v>
      </c>
      <c r="H175" s="105">
        <f>SUMIF(歳出!H:H,精算表!A175,歳出!J:J)</f>
        <v>0</v>
      </c>
      <c r="I175" s="105">
        <f>SUMIF(歳出!I:I,精算表!A175,歳出!J:J)</f>
        <v>283676346</v>
      </c>
      <c r="J175" s="105">
        <f>SUMIF(決算整理!C:C,精算表!A175,決算整理!E:E)</f>
        <v>0</v>
      </c>
      <c r="K175" s="106">
        <f>SUMIF(決算整理!D:D,精算表!A175,決算整理!E:E)</f>
        <v>0</v>
      </c>
      <c r="L175" s="105"/>
      <c r="M175" s="105"/>
      <c r="N175" s="105"/>
      <c r="O175" s="105"/>
      <c r="P175" s="105">
        <f>SUMIF(相殺仕訳!J:J,精算表!A175,相殺仕訳!L:L)</f>
        <v>0</v>
      </c>
      <c r="Q175" s="107">
        <f>SUMIF(相殺仕訳!K:K,精算表!A175,相殺仕訳!L:L)</f>
        <v>0</v>
      </c>
      <c r="R175" s="108"/>
      <c r="S175" s="109">
        <f>E175-F175+G175-H175+I175-J175+K175-L175+M175-N175+O175-P175+Q175</f>
        <v>283676346</v>
      </c>
    </row>
    <row r="176" spans="1:19" ht="15" customHeight="1" x14ac:dyDescent="0.4">
      <c r="A176" s="297" t="s">
        <v>101</v>
      </c>
      <c r="C176" s="101" t="s">
        <v>508</v>
      </c>
      <c r="D176" s="68"/>
      <c r="E176" s="68"/>
      <c r="F176" s="105">
        <f>SUMIF(歳入!I:I,精算表!A176,歳入!K:K)</f>
        <v>0</v>
      </c>
      <c r="G176" s="105">
        <f>SUMIF(歳入!J:J,精算表!A176,歳入!K:K)</f>
        <v>0</v>
      </c>
      <c r="H176" s="105">
        <f>SUMIF(歳出!H:H,精算表!A176,歳出!J:J)</f>
        <v>0</v>
      </c>
      <c r="I176" s="105">
        <f>SUMIF(歳出!I:I,精算表!A176,歳出!J:J)</f>
        <v>307281663</v>
      </c>
      <c r="J176" s="105">
        <f>SUMIF(決算整理!C:C,精算表!A176,決算整理!E:E)</f>
        <v>0</v>
      </c>
      <c r="K176" s="106">
        <f>SUMIF(決算整理!D:D,精算表!A176,決算整理!E:E)</f>
        <v>0</v>
      </c>
      <c r="L176" s="105"/>
      <c r="M176" s="105"/>
      <c r="N176" s="105"/>
      <c r="O176" s="105"/>
      <c r="P176" s="105">
        <f>SUMIF(相殺仕訳!J:J,精算表!A176,相殺仕訳!L:L)</f>
        <v>0</v>
      </c>
      <c r="Q176" s="107">
        <f>SUMIF(相殺仕訳!K:K,精算表!A176,相殺仕訳!L:L)</f>
        <v>0</v>
      </c>
      <c r="R176" s="108"/>
      <c r="S176" s="109">
        <f>E176-F176+G176-H176+I176-J176+K176-L176+M176-N176+O176-P176+Q176</f>
        <v>307281663</v>
      </c>
    </row>
    <row r="177" spans="1:19" ht="15" customHeight="1" x14ac:dyDescent="0.4">
      <c r="A177" s="297" t="s">
        <v>102</v>
      </c>
      <c r="C177" s="101" t="s">
        <v>509</v>
      </c>
      <c r="D177" s="68"/>
      <c r="E177" s="68"/>
      <c r="F177" s="105">
        <f>SUMIF(歳入!I:I,精算表!A177,歳入!K:K)</f>
        <v>0</v>
      </c>
      <c r="G177" s="105">
        <f>SUMIF(歳入!J:J,精算表!A177,歳入!K:K)</f>
        <v>0</v>
      </c>
      <c r="H177" s="105">
        <f>SUMIF(歳出!H:H,精算表!A177,歳出!J:J)</f>
        <v>0</v>
      </c>
      <c r="I177" s="105">
        <f>SUMIF(歳出!I:I,精算表!A177,歳出!J:J)</f>
        <v>0</v>
      </c>
      <c r="J177" s="105">
        <f>SUMIF(決算整理!C:C,精算表!A177,決算整理!E:E)</f>
        <v>0</v>
      </c>
      <c r="K177" s="106">
        <f>SUMIF(決算整理!D:D,精算表!A177,決算整理!E:E)</f>
        <v>0</v>
      </c>
      <c r="L177" s="105"/>
      <c r="M177" s="105"/>
      <c r="N177" s="105"/>
      <c r="O177" s="105"/>
      <c r="P177" s="105">
        <f>SUMIF(相殺仕訳!J:J,精算表!A177,相殺仕訳!L:L)</f>
        <v>0</v>
      </c>
      <c r="Q177" s="107">
        <f>SUMIF(相殺仕訳!K:K,精算表!A177,相殺仕訳!L:L)</f>
        <v>0</v>
      </c>
      <c r="R177" s="108"/>
      <c r="S177" s="109">
        <f>E177-F177+G177-H177+I177-J177+K177-L177+M177-N177+O177-P177+Q177</f>
        <v>0</v>
      </c>
    </row>
    <row r="178" spans="1:19" ht="15" customHeight="1" x14ac:dyDescent="0.4">
      <c r="A178" s="297" t="s">
        <v>103</v>
      </c>
      <c r="C178" s="101" t="s">
        <v>510</v>
      </c>
      <c r="D178" s="68"/>
      <c r="E178" s="68"/>
      <c r="F178" s="105">
        <f>SUMIF(歳入!I:I,精算表!A178,歳入!K:K)</f>
        <v>0</v>
      </c>
      <c r="G178" s="105">
        <f>SUMIF(歳入!J:J,精算表!A178,歳入!K:K)</f>
        <v>0</v>
      </c>
      <c r="H178" s="105">
        <f>SUMIF(歳出!H:H,精算表!A178,歳出!J:J)</f>
        <v>0</v>
      </c>
      <c r="I178" s="105">
        <f>SUMIF(歳出!I:I,精算表!A178,歳出!J:J)</f>
        <v>0</v>
      </c>
      <c r="J178" s="105">
        <f>SUMIF(決算整理!C:C,精算表!A178,決算整理!E:E)</f>
        <v>0</v>
      </c>
      <c r="K178" s="106">
        <f>SUMIF(決算整理!D:D,精算表!A178,決算整理!E:E)</f>
        <v>0</v>
      </c>
      <c r="L178" s="105"/>
      <c r="M178" s="105"/>
      <c r="N178" s="105"/>
      <c r="O178" s="105"/>
      <c r="P178" s="105">
        <f>SUMIF(相殺仕訳!J:J,精算表!A178,相殺仕訳!L:L)</f>
        <v>0</v>
      </c>
      <c r="Q178" s="107">
        <f>SUMIF(相殺仕訳!K:K,精算表!A178,相殺仕訳!L:L)</f>
        <v>0</v>
      </c>
      <c r="R178" s="108"/>
      <c r="S178" s="109">
        <f>E178-F178+G178-H178+I178-J178+K178-L178+M178-N178+O178-P178+Q178</f>
        <v>0</v>
      </c>
    </row>
    <row r="179" spans="1:19" ht="15" customHeight="1" x14ac:dyDescent="0.4">
      <c r="A179" s="297" t="s">
        <v>104</v>
      </c>
      <c r="C179" s="101" t="s">
        <v>501</v>
      </c>
      <c r="D179" s="68"/>
      <c r="E179" s="68"/>
      <c r="F179" s="105">
        <f>SUMIF(歳入!I:I,精算表!A179,歳入!K:K)</f>
        <v>0</v>
      </c>
      <c r="G179" s="105">
        <f>SUMIF(歳入!J:J,精算表!A179,歳入!K:K)</f>
        <v>0</v>
      </c>
      <c r="H179" s="105">
        <f>SUMIF(歳出!H:H,精算表!A179,歳出!J:J)</f>
        <v>0</v>
      </c>
      <c r="I179" s="105">
        <f>SUMIF(歳出!I:I,精算表!A179,歳出!J:J)</f>
        <v>0</v>
      </c>
      <c r="J179" s="105">
        <f>SUMIF(決算整理!C:C,精算表!A179,決算整理!E:E)</f>
        <v>0</v>
      </c>
      <c r="K179" s="106">
        <f>SUMIF(決算整理!D:D,精算表!A179,決算整理!E:E)</f>
        <v>0</v>
      </c>
      <c r="L179" s="105"/>
      <c r="M179" s="105"/>
      <c r="N179" s="105"/>
      <c r="O179" s="105"/>
      <c r="P179" s="105">
        <f>SUMIF(相殺仕訳!J:J,精算表!A179,相殺仕訳!L:L)</f>
        <v>0</v>
      </c>
      <c r="Q179" s="107">
        <f>SUMIF(相殺仕訳!K:K,精算表!A179,相殺仕訳!L:L)</f>
        <v>0</v>
      </c>
      <c r="R179" s="108"/>
      <c r="S179" s="109">
        <f>E179-F179+G179-H179+I179-J179+K179-L179+M179-N179+O179-P179+Q179</f>
        <v>0</v>
      </c>
    </row>
    <row r="180" spans="1:19" ht="15" customHeight="1" x14ac:dyDescent="0.4">
      <c r="A180" s="297"/>
      <c r="C180" s="101" t="s">
        <v>511</v>
      </c>
      <c r="D180" s="68"/>
      <c r="E180" s="68"/>
      <c r="F180" s="68">
        <f>SUM(F181:F185)</f>
        <v>164132799</v>
      </c>
      <c r="G180" s="68">
        <f t="shared" ref="G180:R180" si="41">SUM(G181:G185)</f>
        <v>0</v>
      </c>
      <c r="H180" s="68">
        <f t="shared" si="41"/>
        <v>0</v>
      </c>
      <c r="I180" s="68">
        <f t="shared" si="41"/>
        <v>0</v>
      </c>
      <c r="J180" s="68">
        <f t="shared" si="41"/>
        <v>0</v>
      </c>
      <c r="K180" s="102">
        <f t="shared" si="41"/>
        <v>0</v>
      </c>
      <c r="L180" s="68">
        <f t="shared" si="41"/>
        <v>0</v>
      </c>
      <c r="M180" s="102">
        <f t="shared" si="41"/>
        <v>0</v>
      </c>
      <c r="N180" s="68">
        <f>SUM(N181:N185)</f>
        <v>0</v>
      </c>
      <c r="O180" s="102">
        <f>SUM(O181:O185)</f>
        <v>0</v>
      </c>
      <c r="P180" s="68">
        <f t="shared" si="41"/>
        <v>0</v>
      </c>
      <c r="Q180" s="102">
        <f t="shared" si="41"/>
        <v>0</v>
      </c>
      <c r="R180" s="103">
        <f t="shared" si="41"/>
        <v>164132799</v>
      </c>
      <c r="S180" s="104"/>
    </row>
    <row r="181" spans="1:19" ht="15" customHeight="1" x14ac:dyDescent="0.4">
      <c r="A181" s="297" t="s">
        <v>105</v>
      </c>
      <c r="C181" s="101" t="s">
        <v>496</v>
      </c>
      <c r="D181" s="68"/>
      <c r="E181" s="68"/>
      <c r="F181" s="105">
        <f>SUMIF(歳入!I:I,精算表!A181,歳入!K:K)</f>
        <v>31612019</v>
      </c>
      <c r="G181" s="105">
        <f>SUMIF(歳入!J:J,精算表!A181,歳入!K:K)</f>
        <v>0</v>
      </c>
      <c r="H181" s="105">
        <f>SUMIF(歳出!H:H,精算表!A181,歳出!J:J)</f>
        <v>0</v>
      </c>
      <c r="I181" s="105">
        <f>SUMIF(歳出!I:I,精算表!A181,歳出!J:J)</f>
        <v>0</v>
      </c>
      <c r="J181" s="105">
        <f>SUMIF(決算整理!C:C,精算表!A181,決算整理!E:E)</f>
        <v>0</v>
      </c>
      <c r="K181" s="106">
        <f>SUMIF(決算整理!D:D,精算表!A181,決算整理!E:E)</f>
        <v>0</v>
      </c>
      <c r="L181" s="105"/>
      <c r="M181" s="105"/>
      <c r="N181" s="105"/>
      <c r="O181" s="105"/>
      <c r="P181" s="105">
        <f>SUMIF(相殺仕訳!J:J,精算表!A181,相殺仕訳!L:L)</f>
        <v>0</v>
      </c>
      <c r="Q181" s="107">
        <f>SUMIF(相殺仕訳!K:K,精算表!A181,相殺仕訳!L:L)</f>
        <v>0</v>
      </c>
      <c r="R181" s="108">
        <f>D181+F181-G181+H181-I181+J181-K181+L181-M181+N181-O181+P181-Q181</f>
        <v>31612019</v>
      </c>
      <c r="S181" s="109"/>
    </row>
    <row r="182" spans="1:19" ht="15" customHeight="1" x14ac:dyDescent="0.4">
      <c r="A182" s="297" t="s">
        <v>106</v>
      </c>
      <c r="C182" s="101" t="s">
        <v>512</v>
      </c>
      <c r="D182" s="68"/>
      <c r="E182" s="68"/>
      <c r="F182" s="105">
        <f>SUMIF(歳入!I:I,精算表!A182,歳入!K:K)</f>
        <v>131390916</v>
      </c>
      <c r="G182" s="105">
        <f>SUMIF(歳入!J:J,精算表!A182,歳入!K:K)</f>
        <v>0</v>
      </c>
      <c r="H182" s="105">
        <f>SUMIF(歳出!H:H,精算表!A182,歳出!J:J)</f>
        <v>0</v>
      </c>
      <c r="I182" s="105">
        <f>SUMIF(歳出!I:I,精算表!A182,歳出!J:J)</f>
        <v>0</v>
      </c>
      <c r="J182" s="105">
        <f>SUMIF(決算整理!C:C,精算表!A182,決算整理!E:E)</f>
        <v>0</v>
      </c>
      <c r="K182" s="106">
        <f>SUMIF(決算整理!D:D,精算表!A182,決算整理!E:E)</f>
        <v>0</v>
      </c>
      <c r="L182" s="105"/>
      <c r="M182" s="105"/>
      <c r="N182" s="105"/>
      <c r="O182" s="105"/>
      <c r="P182" s="105">
        <f>SUMIF(相殺仕訳!J:J,精算表!A182,相殺仕訳!L:L)</f>
        <v>0</v>
      </c>
      <c r="Q182" s="107">
        <f>SUMIF(相殺仕訳!K:K,精算表!A182,相殺仕訳!L:L)</f>
        <v>0</v>
      </c>
      <c r="R182" s="108">
        <f>D182+F182-G182+H182-I182+J182-K182+L182-M182+N182-O182+P182-Q182</f>
        <v>131390916</v>
      </c>
      <c r="S182" s="109"/>
    </row>
    <row r="183" spans="1:19" ht="15" customHeight="1" x14ac:dyDescent="0.4">
      <c r="A183" s="297" t="s">
        <v>107</v>
      </c>
      <c r="C183" s="101" t="s">
        <v>513</v>
      </c>
      <c r="D183" s="68"/>
      <c r="E183" s="68"/>
      <c r="F183" s="105">
        <f>SUMIF(歳入!I:I,精算表!A183,歳入!K:K)</f>
        <v>0</v>
      </c>
      <c r="G183" s="105">
        <f>SUMIF(歳入!J:J,精算表!A183,歳入!K:K)</f>
        <v>0</v>
      </c>
      <c r="H183" s="105">
        <f>SUMIF(歳出!H:H,精算表!A183,歳出!J:J)</f>
        <v>0</v>
      </c>
      <c r="I183" s="105">
        <f>SUMIF(歳出!I:I,精算表!A183,歳出!J:J)</f>
        <v>0</v>
      </c>
      <c r="J183" s="105">
        <f>SUMIF(決算整理!C:C,精算表!A183,決算整理!E:E)</f>
        <v>0</v>
      </c>
      <c r="K183" s="106">
        <f>SUMIF(決算整理!D:D,精算表!A183,決算整理!E:E)</f>
        <v>0</v>
      </c>
      <c r="L183" s="105"/>
      <c r="M183" s="105"/>
      <c r="N183" s="105"/>
      <c r="O183" s="105"/>
      <c r="P183" s="105">
        <f>SUMIF(相殺仕訳!J:J,精算表!A183,相殺仕訳!L:L)</f>
        <v>0</v>
      </c>
      <c r="Q183" s="107">
        <f>SUMIF(相殺仕訳!K:K,精算表!A183,相殺仕訳!L:L)</f>
        <v>0</v>
      </c>
      <c r="R183" s="108">
        <f>D183+F183-G183+H183-I183+J183-K183+L183-M183+N183-O183+P183-Q183</f>
        <v>0</v>
      </c>
      <c r="S183" s="109"/>
    </row>
    <row r="184" spans="1:19" ht="15" customHeight="1" x14ac:dyDescent="0.4">
      <c r="A184" s="297" t="s">
        <v>108</v>
      </c>
      <c r="C184" s="101" t="s">
        <v>514</v>
      </c>
      <c r="D184" s="68"/>
      <c r="E184" s="68"/>
      <c r="F184" s="105">
        <f>SUMIF(歳入!I:I,精算表!A184,歳入!K:K)</f>
        <v>1129864</v>
      </c>
      <c r="G184" s="105">
        <f>SUMIF(歳入!J:J,精算表!A184,歳入!K:K)</f>
        <v>0</v>
      </c>
      <c r="H184" s="105">
        <f>SUMIF(歳出!H:H,精算表!A184,歳出!J:J)</f>
        <v>0</v>
      </c>
      <c r="I184" s="105">
        <f>SUMIF(歳出!I:I,精算表!A184,歳出!J:J)</f>
        <v>0</v>
      </c>
      <c r="J184" s="105">
        <f>SUMIF(決算整理!C:C,精算表!A184,決算整理!E:E)</f>
        <v>0</v>
      </c>
      <c r="K184" s="106">
        <f>SUMIF(決算整理!D:D,精算表!A184,決算整理!E:E)</f>
        <v>0</v>
      </c>
      <c r="L184" s="105"/>
      <c r="M184" s="105"/>
      <c r="N184" s="105"/>
      <c r="O184" s="105"/>
      <c r="P184" s="105">
        <f>SUMIF(相殺仕訳!J:J,精算表!A184,相殺仕訳!L:L)</f>
        <v>0</v>
      </c>
      <c r="Q184" s="107">
        <f>SUMIF(相殺仕訳!K:K,精算表!A184,相殺仕訳!L:L)</f>
        <v>0</v>
      </c>
      <c r="R184" s="108">
        <f>D184+F184-G184+H184-I184+J184-K184+L184-M184+N184-O184+P184-Q184</f>
        <v>1129864</v>
      </c>
      <c r="S184" s="109"/>
    </row>
    <row r="185" spans="1:19" ht="15" customHeight="1" x14ac:dyDescent="0.4">
      <c r="A185" s="297" t="s">
        <v>109</v>
      </c>
      <c r="C185" s="141" t="s">
        <v>498</v>
      </c>
      <c r="D185" s="163"/>
      <c r="E185" s="163"/>
      <c r="F185" s="105">
        <f>SUMIF(歳入!I:I,精算表!A185,歳入!K:K)</f>
        <v>0</v>
      </c>
      <c r="G185" s="105">
        <f>SUMIF(歳入!J:J,精算表!A185,歳入!K:K)</f>
        <v>0</v>
      </c>
      <c r="H185" s="105">
        <f>SUMIF(歳出!H:H,精算表!A185,歳出!J:J)</f>
        <v>0</v>
      </c>
      <c r="I185" s="105">
        <f>SUMIF(歳出!I:I,精算表!A185,歳出!J:J)</f>
        <v>0</v>
      </c>
      <c r="J185" s="105">
        <f>SUMIF(決算整理!C:C,精算表!A185,決算整理!E:E)</f>
        <v>0</v>
      </c>
      <c r="K185" s="106">
        <f>SUMIF(決算整理!D:D,精算表!A185,決算整理!E:E)</f>
        <v>0</v>
      </c>
      <c r="L185" s="143"/>
      <c r="M185" s="143"/>
      <c r="N185" s="143"/>
      <c r="O185" s="143"/>
      <c r="P185" s="105">
        <f>SUMIF(相殺仕訳!J:J,精算表!A185,相殺仕訳!L:L)</f>
        <v>0</v>
      </c>
      <c r="Q185" s="107">
        <f>SUMIF(相殺仕訳!K:K,精算表!A185,相殺仕訳!L:L)</f>
        <v>0</v>
      </c>
      <c r="R185" s="144">
        <f>D185+F185-G185+H185-I185+J185-K185+L185-M185+N185-O185+P185-Q185</f>
        <v>0</v>
      </c>
      <c r="S185" s="145"/>
    </row>
    <row r="186" spans="1:19" ht="15" customHeight="1" x14ac:dyDescent="0.4">
      <c r="A186" s="297"/>
      <c r="C186" s="116" t="s">
        <v>515</v>
      </c>
      <c r="D186" s="71"/>
      <c r="E186" s="71"/>
      <c r="F186" s="71">
        <f t="shared" ref="F186:Q186" si="42">F180-F174</f>
        <v>164132799</v>
      </c>
      <c r="G186" s="71">
        <f t="shared" si="42"/>
        <v>0</v>
      </c>
      <c r="H186" s="71">
        <f t="shared" si="42"/>
        <v>0</v>
      </c>
      <c r="I186" s="71">
        <f t="shared" si="42"/>
        <v>-590958009</v>
      </c>
      <c r="J186" s="71">
        <f t="shared" si="42"/>
        <v>0</v>
      </c>
      <c r="K186" s="117">
        <f t="shared" si="42"/>
        <v>0</v>
      </c>
      <c r="L186" s="71">
        <f t="shared" si="42"/>
        <v>0</v>
      </c>
      <c r="M186" s="117">
        <f t="shared" si="42"/>
        <v>0</v>
      </c>
      <c r="N186" s="71">
        <f>N180-N174</f>
        <v>0</v>
      </c>
      <c r="O186" s="117">
        <f>O180-O174</f>
        <v>0</v>
      </c>
      <c r="P186" s="71">
        <f t="shared" si="42"/>
        <v>0</v>
      </c>
      <c r="Q186" s="117">
        <f t="shared" si="42"/>
        <v>0</v>
      </c>
      <c r="R186" s="118">
        <f>R180-S174</f>
        <v>-426825210</v>
      </c>
      <c r="S186" s="119"/>
    </row>
    <row r="187" spans="1:19" ht="15" customHeight="1" x14ac:dyDescent="0.4">
      <c r="A187" s="297"/>
      <c r="C187" s="147" t="s">
        <v>516</v>
      </c>
      <c r="D187" s="149"/>
      <c r="E187" s="149"/>
      <c r="F187" s="149"/>
      <c r="G187" s="149"/>
      <c r="H187" s="149"/>
      <c r="I187" s="149"/>
      <c r="J187" s="149"/>
      <c r="K187" s="150"/>
      <c r="L187" s="149"/>
      <c r="M187" s="150"/>
      <c r="N187" s="149"/>
      <c r="O187" s="150"/>
      <c r="P187" s="149"/>
      <c r="Q187" s="150"/>
      <c r="R187" s="151"/>
      <c r="S187" s="152"/>
    </row>
    <row r="188" spans="1:19" ht="15" customHeight="1" x14ac:dyDescent="0.4">
      <c r="A188" s="297"/>
      <c r="C188" s="101" t="s">
        <v>517</v>
      </c>
      <c r="D188" s="68"/>
      <c r="E188" s="68"/>
      <c r="F188" s="68">
        <f>SUM(F189:F190)</f>
        <v>0</v>
      </c>
      <c r="G188" s="68">
        <f t="shared" ref="G188:S188" si="43">SUM(G189:G190)</f>
        <v>0</v>
      </c>
      <c r="H188" s="68">
        <f t="shared" si="43"/>
        <v>0</v>
      </c>
      <c r="I188" s="68">
        <f t="shared" si="43"/>
        <v>375852129</v>
      </c>
      <c r="J188" s="68">
        <f t="shared" si="43"/>
        <v>0</v>
      </c>
      <c r="K188" s="102">
        <f t="shared" si="43"/>
        <v>0</v>
      </c>
      <c r="L188" s="68">
        <f t="shared" si="43"/>
        <v>0</v>
      </c>
      <c r="M188" s="102">
        <f t="shared" si="43"/>
        <v>0</v>
      </c>
      <c r="N188" s="68">
        <f>SUM(N189:N190)</f>
        <v>0</v>
      </c>
      <c r="O188" s="102">
        <f>SUM(O189:O190)</f>
        <v>0</v>
      </c>
      <c r="P188" s="68">
        <f t="shared" si="43"/>
        <v>0</v>
      </c>
      <c r="Q188" s="102">
        <f t="shared" si="43"/>
        <v>0</v>
      </c>
      <c r="R188" s="103"/>
      <c r="S188" s="104">
        <f t="shared" si="43"/>
        <v>375852129</v>
      </c>
    </row>
    <row r="189" spans="1:19" ht="15" customHeight="1" x14ac:dyDescent="0.4">
      <c r="A189" s="297" t="s">
        <v>110</v>
      </c>
      <c r="C189" s="101" t="s">
        <v>518</v>
      </c>
      <c r="D189" s="68"/>
      <c r="E189" s="68"/>
      <c r="F189" s="105">
        <f>SUMIF(歳入!I:I,精算表!A189,歳入!K:K)</f>
        <v>0</v>
      </c>
      <c r="G189" s="105">
        <f>SUMIF(歳入!J:J,精算表!A189,歳入!K:K)</f>
        <v>0</v>
      </c>
      <c r="H189" s="105">
        <f>SUMIF(歳出!H:H,精算表!A189,歳出!J:J)</f>
        <v>0</v>
      </c>
      <c r="I189" s="105">
        <f>SUMIF(歳出!I:I,精算表!A189,歳出!J:J)</f>
        <v>375852129</v>
      </c>
      <c r="J189" s="105">
        <f>SUMIF(決算整理!C:C,精算表!A189,決算整理!E:E)</f>
        <v>0</v>
      </c>
      <c r="K189" s="106">
        <f>SUMIF(決算整理!D:D,精算表!A189,決算整理!E:E)</f>
        <v>0</v>
      </c>
      <c r="L189" s="105"/>
      <c r="M189" s="105"/>
      <c r="N189" s="105"/>
      <c r="O189" s="105"/>
      <c r="P189" s="105">
        <f>SUMIF(相殺仕訳!J:J,精算表!A189,相殺仕訳!L:L)</f>
        <v>0</v>
      </c>
      <c r="Q189" s="107">
        <f>SUMIF(相殺仕訳!K:K,精算表!A189,相殺仕訳!L:L)</f>
        <v>0</v>
      </c>
      <c r="R189" s="108"/>
      <c r="S189" s="109">
        <f>E189-F189+G189-H189+I189-J189+K189-L189+M189-N189+O189-P189+Q189</f>
        <v>375852129</v>
      </c>
    </row>
    <row r="190" spans="1:19" ht="15" customHeight="1" x14ac:dyDescent="0.4">
      <c r="A190" s="297" t="s">
        <v>111</v>
      </c>
      <c r="C190" s="101" t="s">
        <v>501</v>
      </c>
      <c r="D190" s="68"/>
      <c r="E190" s="68"/>
      <c r="F190" s="105">
        <f>SUMIF(歳入!I:I,精算表!A190,歳入!K:K)</f>
        <v>0</v>
      </c>
      <c r="G190" s="105">
        <f>SUMIF(歳入!J:J,精算表!A190,歳入!K:K)</f>
        <v>0</v>
      </c>
      <c r="H190" s="105">
        <f>SUMIF(歳出!H:H,精算表!A190,歳出!J:J)</f>
        <v>0</v>
      </c>
      <c r="I190" s="105">
        <f>SUMIF(歳出!I:I,精算表!A190,歳出!J:J)</f>
        <v>0</v>
      </c>
      <c r="J190" s="105">
        <f>SUMIF(決算整理!C:C,精算表!A190,決算整理!E:E)</f>
        <v>0</v>
      </c>
      <c r="K190" s="106">
        <f>SUMIF(決算整理!D:D,精算表!A190,決算整理!E:E)</f>
        <v>0</v>
      </c>
      <c r="L190" s="105"/>
      <c r="M190" s="105"/>
      <c r="N190" s="105"/>
      <c r="O190" s="105"/>
      <c r="P190" s="105">
        <f>SUMIF(相殺仕訳!J:J,精算表!A190,相殺仕訳!L:L)</f>
        <v>0</v>
      </c>
      <c r="Q190" s="107">
        <f>SUMIF(相殺仕訳!K:K,精算表!A190,相殺仕訳!L:L)</f>
        <v>0</v>
      </c>
      <c r="R190" s="108"/>
      <c r="S190" s="109">
        <f>E190-F190+G190-H190+I190-J190+K190-L190+M190-N190+O190-P190+Q190</f>
        <v>0</v>
      </c>
    </row>
    <row r="191" spans="1:19" ht="15" customHeight="1" x14ac:dyDescent="0.4">
      <c r="A191" s="297"/>
      <c r="C191" s="101" t="s">
        <v>519</v>
      </c>
      <c r="D191" s="68"/>
      <c r="E191" s="68"/>
      <c r="F191" s="68">
        <f>SUM(F192:F193)</f>
        <v>114688000</v>
      </c>
      <c r="G191" s="68">
        <f t="shared" ref="G191:R191" si="44">SUM(G192:G193)</f>
        <v>0</v>
      </c>
      <c r="H191" s="68">
        <f t="shared" si="44"/>
        <v>0</v>
      </c>
      <c r="I191" s="68">
        <f t="shared" si="44"/>
        <v>0</v>
      </c>
      <c r="J191" s="68">
        <f t="shared" si="44"/>
        <v>0</v>
      </c>
      <c r="K191" s="102">
        <f t="shared" si="44"/>
        <v>0</v>
      </c>
      <c r="L191" s="68">
        <f t="shared" si="44"/>
        <v>0</v>
      </c>
      <c r="M191" s="102">
        <f t="shared" si="44"/>
        <v>0</v>
      </c>
      <c r="N191" s="68">
        <f>SUM(N192:N193)</f>
        <v>0</v>
      </c>
      <c r="O191" s="102">
        <f>SUM(O192:O193)</f>
        <v>0</v>
      </c>
      <c r="P191" s="68">
        <f t="shared" si="44"/>
        <v>0</v>
      </c>
      <c r="Q191" s="102">
        <f t="shared" si="44"/>
        <v>0</v>
      </c>
      <c r="R191" s="103">
        <f t="shared" si="44"/>
        <v>114688000</v>
      </c>
      <c r="S191" s="104"/>
    </row>
    <row r="192" spans="1:19" ht="15" customHeight="1" x14ac:dyDescent="0.4">
      <c r="A192" s="297" t="s">
        <v>112</v>
      </c>
      <c r="C192" s="101" t="s">
        <v>520</v>
      </c>
      <c r="D192" s="68"/>
      <c r="E192" s="68"/>
      <c r="F192" s="105">
        <f>SUMIF(歳入!I:I,精算表!A192,歳入!K:K)</f>
        <v>114688000</v>
      </c>
      <c r="G192" s="105">
        <f>SUMIF(歳入!J:J,精算表!A192,歳入!K:K)</f>
        <v>0</v>
      </c>
      <c r="H192" s="105">
        <f>SUMIF(歳出!H:H,精算表!A192,歳出!J:J)</f>
        <v>0</v>
      </c>
      <c r="I192" s="105">
        <f>SUMIF(歳出!I:I,精算表!A192,歳出!J:J)</f>
        <v>0</v>
      </c>
      <c r="J192" s="105">
        <f>SUMIF(決算整理!C:C,精算表!A192,決算整理!E:E)</f>
        <v>0</v>
      </c>
      <c r="K192" s="106">
        <f>SUMIF(決算整理!D:D,精算表!A192,決算整理!E:E)</f>
        <v>0</v>
      </c>
      <c r="L192" s="105"/>
      <c r="M192" s="105"/>
      <c r="N192" s="105"/>
      <c r="O192" s="105"/>
      <c r="P192" s="105">
        <f>SUMIF(相殺仕訳!J:J,精算表!A192,相殺仕訳!L:L)</f>
        <v>0</v>
      </c>
      <c r="Q192" s="107">
        <f>SUMIF(相殺仕訳!K:K,精算表!A192,相殺仕訳!L:L)</f>
        <v>0</v>
      </c>
      <c r="R192" s="108">
        <f>D192+F192-G192+H192-I192+J192-K192+L192-M192+N192-O192+P192-Q192</f>
        <v>114688000</v>
      </c>
      <c r="S192" s="109"/>
    </row>
    <row r="193" spans="1:19" ht="15" customHeight="1" x14ac:dyDescent="0.4">
      <c r="A193" s="297" t="s">
        <v>113</v>
      </c>
      <c r="C193" s="115" t="s">
        <v>498</v>
      </c>
      <c r="D193" s="70"/>
      <c r="E193" s="70"/>
      <c r="F193" s="105">
        <f>SUMIF(歳入!I:I,精算表!A193,歳入!K:K)</f>
        <v>0</v>
      </c>
      <c r="G193" s="105">
        <f>SUMIF(歳入!J:J,精算表!A193,歳入!K:K)</f>
        <v>0</v>
      </c>
      <c r="H193" s="105">
        <f>SUMIF(歳出!H:H,精算表!A193,歳出!J:J)</f>
        <v>0</v>
      </c>
      <c r="I193" s="105">
        <f>SUMIF(歳出!I:I,精算表!A193,歳出!J:J)</f>
        <v>0</v>
      </c>
      <c r="J193" s="105">
        <f>SUMIF(決算整理!C:C,精算表!A193,決算整理!E:E)</f>
        <v>0</v>
      </c>
      <c r="K193" s="106">
        <f>SUMIF(決算整理!D:D,精算表!A193,決算整理!E:E)</f>
        <v>0</v>
      </c>
      <c r="L193" s="121"/>
      <c r="M193" s="121"/>
      <c r="N193" s="121"/>
      <c r="O193" s="121"/>
      <c r="P193" s="105">
        <f>SUMIF(相殺仕訳!J:J,精算表!A193,相殺仕訳!L:L)</f>
        <v>0</v>
      </c>
      <c r="Q193" s="107">
        <f>SUMIF(相殺仕訳!K:K,精算表!A193,相殺仕訳!L:L)</f>
        <v>0</v>
      </c>
      <c r="R193" s="124">
        <f>D193+F193-G193+H193-I193+J193-K193+L193-M193+N193-O193+P193-Q193</f>
        <v>0</v>
      </c>
      <c r="S193" s="125"/>
    </row>
    <row r="194" spans="1:19" ht="15" customHeight="1" x14ac:dyDescent="0.4">
      <c r="A194" s="297"/>
      <c r="C194" s="116" t="s">
        <v>521</v>
      </c>
      <c r="D194" s="71"/>
      <c r="E194" s="71"/>
      <c r="F194" s="71">
        <f t="shared" ref="F194:Q194" si="45">F191-F188</f>
        <v>114688000</v>
      </c>
      <c r="G194" s="71">
        <f t="shared" si="45"/>
        <v>0</v>
      </c>
      <c r="H194" s="71">
        <f t="shared" si="45"/>
        <v>0</v>
      </c>
      <c r="I194" s="71">
        <f t="shared" si="45"/>
        <v>-375852129</v>
      </c>
      <c r="J194" s="71">
        <f t="shared" si="45"/>
        <v>0</v>
      </c>
      <c r="K194" s="117">
        <f t="shared" si="45"/>
        <v>0</v>
      </c>
      <c r="L194" s="71">
        <f t="shared" si="45"/>
        <v>0</v>
      </c>
      <c r="M194" s="117">
        <f t="shared" si="45"/>
        <v>0</v>
      </c>
      <c r="N194" s="71">
        <f>N191-N188</f>
        <v>0</v>
      </c>
      <c r="O194" s="117">
        <f>O191-O188</f>
        <v>0</v>
      </c>
      <c r="P194" s="71">
        <f t="shared" si="45"/>
        <v>0</v>
      </c>
      <c r="Q194" s="117">
        <f t="shared" si="45"/>
        <v>0</v>
      </c>
      <c r="R194" s="118">
        <f>R191-S188</f>
        <v>-261164129</v>
      </c>
      <c r="S194" s="119"/>
    </row>
    <row r="195" spans="1:19" ht="15" customHeight="1" x14ac:dyDescent="0.4">
      <c r="A195" s="297"/>
      <c r="C195" s="116" t="s">
        <v>522</v>
      </c>
      <c r="D195" s="71"/>
      <c r="E195" s="71"/>
      <c r="F195" s="71">
        <f t="shared" ref="F195:Q195" si="46">F172+F186+F194</f>
        <v>5130802249</v>
      </c>
      <c r="G195" s="71">
        <f t="shared" si="46"/>
        <v>0</v>
      </c>
      <c r="H195" s="71">
        <f t="shared" si="46"/>
        <v>0</v>
      </c>
      <c r="I195" s="71">
        <f t="shared" si="46"/>
        <v>-5197729424</v>
      </c>
      <c r="J195" s="71">
        <f t="shared" si="46"/>
        <v>0</v>
      </c>
      <c r="K195" s="117">
        <f t="shared" si="46"/>
        <v>0</v>
      </c>
      <c r="L195" s="71">
        <f t="shared" si="46"/>
        <v>0</v>
      </c>
      <c r="M195" s="117">
        <f t="shared" si="46"/>
        <v>0</v>
      </c>
      <c r="N195" s="71">
        <f>N172+N186+N194</f>
        <v>0</v>
      </c>
      <c r="O195" s="117">
        <f>O172+O186+O194</f>
        <v>0</v>
      </c>
      <c r="P195" s="71">
        <f t="shared" si="46"/>
        <v>0</v>
      </c>
      <c r="Q195" s="117">
        <f t="shared" si="46"/>
        <v>0</v>
      </c>
      <c r="R195" s="118">
        <f>R172+R186+R194</f>
        <v>-66927175</v>
      </c>
      <c r="S195" s="119"/>
    </row>
    <row r="196" spans="1:19" ht="15" customHeight="1" x14ac:dyDescent="0.4">
      <c r="A196" s="297"/>
      <c r="C196" s="116" t="s">
        <v>523</v>
      </c>
      <c r="D196" s="71">
        <f>開始BS!$B$53-チェックシート!$C$5</f>
        <v>331505838</v>
      </c>
      <c r="E196" s="71"/>
      <c r="F196" s="71"/>
      <c r="G196" s="71"/>
      <c r="H196" s="71"/>
      <c r="I196" s="71"/>
      <c r="J196" s="71"/>
      <c r="K196" s="117"/>
      <c r="L196" s="71"/>
      <c r="M196" s="71"/>
      <c r="N196" s="71"/>
      <c r="O196" s="71"/>
      <c r="P196" s="71"/>
      <c r="Q196" s="162"/>
      <c r="R196" s="118">
        <f>D196</f>
        <v>331505838</v>
      </c>
      <c r="S196" s="119"/>
    </row>
    <row r="197" spans="1:19" ht="15" customHeight="1" thickBot="1" x14ac:dyDescent="0.45">
      <c r="A197" s="297"/>
      <c r="C197" s="154" t="s">
        <v>524</v>
      </c>
      <c r="D197" s="156"/>
      <c r="E197" s="156"/>
      <c r="F197" s="156"/>
      <c r="G197" s="156"/>
      <c r="H197" s="156"/>
      <c r="I197" s="156"/>
      <c r="J197" s="156"/>
      <c r="K197" s="157"/>
      <c r="L197" s="156"/>
      <c r="M197" s="156"/>
      <c r="N197" s="156"/>
      <c r="O197" s="156"/>
      <c r="P197" s="156"/>
      <c r="Q197" s="174"/>
      <c r="R197" s="158">
        <f>R195+R196</f>
        <v>264578663</v>
      </c>
      <c r="S197" s="159"/>
    </row>
    <row r="198" spans="1:19" ht="15" customHeight="1" x14ac:dyDescent="0.4">
      <c r="A198" s="297"/>
      <c r="C198" s="116" t="s">
        <v>525</v>
      </c>
      <c r="D198" s="71">
        <f>チェックシート!$C$5</f>
        <v>0</v>
      </c>
      <c r="E198" s="71"/>
      <c r="F198" s="71"/>
      <c r="G198" s="71"/>
      <c r="H198" s="71"/>
      <c r="I198" s="71"/>
      <c r="J198" s="71"/>
      <c r="K198" s="117"/>
      <c r="L198" s="71"/>
      <c r="M198" s="71"/>
      <c r="N198" s="71"/>
      <c r="O198" s="71"/>
      <c r="P198" s="71"/>
      <c r="Q198" s="162"/>
      <c r="R198" s="118">
        <f>D198+L198+N198</f>
        <v>0</v>
      </c>
      <c r="S198" s="119"/>
    </row>
    <row r="199" spans="1:19" ht="15" customHeight="1" x14ac:dyDescent="0.4">
      <c r="A199" s="297" t="s">
        <v>114</v>
      </c>
      <c r="C199" s="116" t="s">
        <v>526</v>
      </c>
      <c r="D199" s="71"/>
      <c r="E199" s="71"/>
      <c r="F199" s="105">
        <f>SUMIF(歳入!I:I,精算表!A199,歳入!K:K)</f>
        <v>0</v>
      </c>
      <c r="G199" s="105">
        <f>SUMIF(歳入!J:J,精算表!A199,歳入!K:K)</f>
        <v>0</v>
      </c>
      <c r="H199" s="105">
        <f>SUMIF(歳出!H:H,精算表!A199,歳出!J:J)</f>
        <v>0</v>
      </c>
      <c r="I199" s="105">
        <f>SUMIF(歳出!I:I,精算表!A199,歳出!J:J)</f>
        <v>0</v>
      </c>
      <c r="J199" s="105">
        <f>SUMIF(決算整理!C:C,精算表!A199,決算整理!E:E)</f>
        <v>52058814</v>
      </c>
      <c r="K199" s="106">
        <f>SUMIF(決算整理!D:D,精算表!A199,決算整理!E:E)</f>
        <v>0</v>
      </c>
      <c r="L199" s="195"/>
      <c r="M199" s="196"/>
      <c r="N199" s="195"/>
      <c r="O199" s="196"/>
      <c r="P199" s="105">
        <f>SUMIF(相殺仕訳!J:J,精算表!A199,相殺仕訳!L:L)</f>
        <v>0</v>
      </c>
      <c r="Q199" s="107">
        <f>SUMIF(相殺仕訳!K:K,精算表!A199,相殺仕訳!L:L)</f>
        <v>0</v>
      </c>
      <c r="R199" s="118">
        <f>D199+F199-G199+H199-I199+J199-K199+L199-M199+N199-O199+P199-Q199</f>
        <v>52058814</v>
      </c>
      <c r="S199" s="119"/>
    </row>
    <row r="200" spans="1:19" ht="15" customHeight="1" x14ac:dyDescent="0.4">
      <c r="A200" s="297"/>
      <c r="C200" s="116" t="s">
        <v>527</v>
      </c>
      <c r="D200" s="71"/>
      <c r="E200" s="71"/>
      <c r="F200" s="71"/>
      <c r="G200" s="71"/>
      <c r="H200" s="71"/>
      <c r="I200" s="71"/>
      <c r="J200" s="71"/>
      <c r="K200" s="117"/>
      <c r="L200" s="71"/>
      <c r="M200" s="71"/>
      <c r="N200" s="71"/>
      <c r="O200" s="71"/>
      <c r="P200" s="71"/>
      <c r="Q200" s="162"/>
      <c r="R200" s="118">
        <f>R198+R199</f>
        <v>52058814</v>
      </c>
      <c r="S200" s="119"/>
    </row>
    <row r="201" spans="1:19" ht="15" customHeight="1" thickBot="1" x14ac:dyDescent="0.45">
      <c r="A201" s="299"/>
      <c r="C201" s="154" t="s">
        <v>528</v>
      </c>
      <c r="D201" s="156"/>
      <c r="E201" s="156"/>
      <c r="F201" s="156"/>
      <c r="G201" s="156"/>
      <c r="H201" s="156"/>
      <c r="I201" s="156"/>
      <c r="J201" s="156"/>
      <c r="K201" s="157"/>
      <c r="L201" s="156"/>
      <c r="M201" s="156"/>
      <c r="N201" s="156"/>
      <c r="O201" s="156"/>
      <c r="P201" s="156"/>
      <c r="Q201" s="174"/>
      <c r="R201" s="158">
        <f>R197+R200</f>
        <v>316637477</v>
      </c>
      <c r="S201" s="159"/>
    </row>
  </sheetData>
  <mergeCells count="36">
    <mergeCell ref="L149:M149"/>
    <mergeCell ref="N149:O149"/>
    <mergeCell ref="P149:Q149"/>
    <mergeCell ref="R149:S149"/>
    <mergeCell ref="C149:C150"/>
    <mergeCell ref="D149:E149"/>
    <mergeCell ref="F149:G149"/>
    <mergeCell ref="H149:I149"/>
    <mergeCell ref="J149:K149"/>
    <mergeCell ref="P90:Q90"/>
    <mergeCell ref="R90:S90"/>
    <mergeCell ref="C129:C130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N4:O4"/>
    <mergeCell ref="P4:Q4"/>
    <mergeCell ref="R4:S4"/>
    <mergeCell ref="C90:C91"/>
    <mergeCell ref="D90:E90"/>
    <mergeCell ref="F90:G90"/>
    <mergeCell ref="H90:I90"/>
    <mergeCell ref="J90:K90"/>
    <mergeCell ref="L90:M90"/>
    <mergeCell ref="N90:O90"/>
    <mergeCell ref="C4:C5"/>
    <mergeCell ref="D4:E4"/>
    <mergeCell ref="F4:G4"/>
    <mergeCell ref="H4:I4"/>
    <mergeCell ref="J4:K4"/>
    <mergeCell ref="L4:M4"/>
  </mergeCells>
  <phoneticPr fontId="1"/>
  <pageMargins left="0.70866141732283472" right="0.51181102362204722" top="0.74803149606299213" bottom="0.74803149606299213" header="0.31496062992125984" footer="0.31496062992125984"/>
  <pageSetup paperSize="8" scale="55" orientation="landscape" r:id="rId1"/>
  <rowBreaks count="2" manualBreakCount="2">
    <brk id="88" min="1" max="18" man="1"/>
    <brk id="147" min="1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803F-B7AC-445E-A2C0-7FAC7BF0EA7B}">
  <sheetPr>
    <tabColor theme="7"/>
    <pageSetUpPr fitToPage="1"/>
  </sheetPr>
  <dimension ref="A1:H66"/>
  <sheetViews>
    <sheetView tabSelected="1" workbookViewId="0">
      <selection activeCell="B20" sqref="B20"/>
    </sheetView>
  </sheetViews>
  <sheetFormatPr defaultColWidth="8.625" defaultRowHeight="17.45" customHeight="1" x14ac:dyDescent="0.4"/>
  <cols>
    <col min="1" max="1" width="2.125" style="213" customWidth="1"/>
    <col min="2" max="2" width="30.625" style="213" customWidth="1"/>
    <col min="3" max="3" width="15.625" style="213" customWidth="1"/>
    <col min="4" max="4" width="30.625" style="213" customWidth="1"/>
    <col min="5" max="5" width="15.625" style="213" customWidth="1"/>
    <col min="6" max="6" width="16.5" style="213" bestFit="1" customWidth="1"/>
    <col min="7" max="7" width="15.5" style="213" bestFit="1" customWidth="1"/>
    <col min="8" max="8" width="13.75" style="213" bestFit="1" customWidth="1"/>
    <col min="9" max="16384" width="8.625" style="213"/>
  </cols>
  <sheetData>
    <row r="1" spans="1:8" ht="17.45" customHeight="1" x14ac:dyDescent="0.4">
      <c r="A1" s="281" t="str">
        <f>チェックシート!$C$2</f>
        <v>白子町</v>
      </c>
      <c r="B1" s="211"/>
      <c r="E1" s="205" t="s">
        <v>115</v>
      </c>
    </row>
    <row r="2" spans="1:8" ht="17.45" customHeight="1" x14ac:dyDescent="0.4">
      <c r="B2" s="390" t="s">
        <v>549</v>
      </c>
      <c r="C2" s="390"/>
      <c r="D2" s="390"/>
      <c r="E2" s="390"/>
    </row>
    <row r="3" spans="1:8" ht="17.45" customHeight="1" x14ac:dyDescent="0.4">
      <c r="B3" s="391" t="str">
        <f>"（令和"&amp;チェックシート!C3+1&amp;"年 3月31日現在）"</f>
        <v>（令和6年 3月31日現在）</v>
      </c>
      <c r="C3" s="391"/>
      <c r="D3" s="391"/>
      <c r="E3" s="391"/>
    </row>
    <row r="4" spans="1:8" ht="17.45" customHeight="1" x14ac:dyDescent="0.4">
      <c r="B4" s="208"/>
      <c r="E4" s="205" t="s">
        <v>116</v>
      </c>
    </row>
    <row r="5" spans="1:8" ht="24.95" customHeight="1" x14ac:dyDescent="0.4">
      <c r="B5" s="42" t="s">
        <v>117</v>
      </c>
      <c r="C5" s="209" t="s">
        <v>118</v>
      </c>
      <c r="D5" s="42" t="s">
        <v>117</v>
      </c>
      <c r="E5" s="42" t="s">
        <v>118</v>
      </c>
    </row>
    <row r="6" spans="1:8" ht="17.45" customHeight="1" x14ac:dyDescent="0.4">
      <c r="B6" s="214" t="s">
        <v>119</v>
      </c>
      <c r="C6" s="215"/>
      <c r="D6" s="214" t="s">
        <v>120</v>
      </c>
      <c r="E6" s="216"/>
    </row>
    <row r="7" spans="1:8" ht="17.45" customHeight="1" x14ac:dyDescent="0.4">
      <c r="B7" s="214" t="s">
        <v>550</v>
      </c>
      <c r="C7" s="217">
        <f>C8+C36+C39</f>
        <v>12663424654</v>
      </c>
      <c r="D7" s="214" t="s">
        <v>122</v>
      </c>
      <c r="E7" s="218">
        <f>SUM(E8:E12)</f>
        <v>4812257270</v>
      </c>
      <c r="H7" s="224"/>
    </row>
    <row r="8" spans="1:8" ht="17.45" customHeight="1" x14ac:dyDescent="0.4">
      <c r="B8" s="214" t="s">
        <v>123</v>
      </c>
      <c r="C8" s="217">
        <f>C9+C25+C34+C35</f>
        <v>10853147538</v>
      </c>
      <c r="D8" s="214" t="s">
        <v>124</v>
      </c>
      <c r="E8" s="218">
        <f>精算表!S67</f>
        <v>3558125270</v>
      </c>
      <c r="G8" s="356"/>
      <c r="H8" s="224"/>
    </row>
    <row r="9" spans="1:8" ht="17.45" customHeight="1" x14ac:dyDescent="0.4">
      <c r="B9" s="214" t="s">
        <v>125</v>
      </c>
      <c r="C9" s="217">
        <f>SUM(C10:C24)</f>
        <v>5736226774</v>
      </c>
      <c r="D9" s="214" t="s">
        <v>126</v>
      </c>
      <c r="E9" s="218">
        <f>精算表!S68</f>
        <v>0</v>
      </c>
      <c r="G9" s="356"/>
      <c r="H9" s="224"/>
    </row>
    <row r="10" spans="1:8" ht="17.45" customHeight="1" x14ac:dyDescent="0.4">
      <c r="B10" s="214" t="s">
        <v>127</v>
      </c>
      <c r="C10" s="217">
        <f>精算表!R10</f>
        <v>2067189995</v>
      </c>
      <c r="D10" s="214" t="s">
        <v>128</v>
      </c>
      <c r="E10" s="218">
        <f>精算表!S69</f>
        <v>1172015000</v>
      </c>
      <c r="G10" s="356"/>
      <c r="H10" s="224"/>
    </row>
    <row r="11" spans="1:8" ht="17.45" customHeight="1" x14ac:dyDescent="0.4">
      <c r="B11" s="214" t="s">
        <v>129</v>
      </c>
      <c r="C11" s="217">
        <f>精算表!R11</f>
        <v>0</v>
      </c>
      <c r="D11" s="214" t="s">
        <v>130</v>
      </c>
      <c r="E11" s="218">
        <f>精算表!S70</f>
        <v>0</v>
      </c>
      <c r="H11" s="224"/>
    </row>
    <row r="12" spans="1:8" ht="17.45" customHeight="1" x14ac:dyDescent="0.4">
      <c r="B12" s="214" t="s">
        <v>131</v>
      </c>
      <c r="C12" s="217">
        <f>精算表!R12</f>
        <v>8406693796</v>
      </c>
      <c r="D12" s="214" t="s">
        <v>132</v>
      </c>
      <c r="E12" s="218">
        <f>精算表!S71</f>
        <v>82117000</v>
      </c>
      <c r="G12" s="356"/>
      <c r="H12" s="224"/>
    </row>
    <row r="13" spans="1:8" ht="17.45" customHeight="1" x14ac:dyDescent="0.4">
      <c r="B13" s="214" t="s">
        <v>133</v>
      </c>
      <c r="C13" s="217">
        <f>精算表!R13</f>
        <v>-5953696925</v>
      </c>
      <c r="D13" s="214" t="s">
        <v>134</v>
      </c>
      <c r="E13" s="218">
        <f>SUM(E14:E21)</f>
        <v>521110473</v>
      </c>
      <c r="G13" s="356"/>
      <c r="H13" s="224"/>
    </row>
    <row r="14" spans="1:8" ht="17.45" customHeight="1" x14ac:dyDescent="0.4">
      <c r="B14" s="214" t="s">
        <v>135</v>
      </c>
      <c r="C14" s="217">
        <f>精算表!R14</f>
        <v>2555512418</v>
      </c>
      <c r="D14" s="214" t="s">
        <v>136</v>
      </c>
      <c r="E14" s="218">
        <f>精算表!S73</f>
        <v>356523262</v>
      </c>
      <c r="G14" s="356"/>
      <c r="H14" s="224"/>
    </row>
    <row r="15" spans="1:8" ht="17.45" customHeight="1" x14ac:dyDescent="0.4">
      <c r="B15" s="214" t="s">
        <v>137</v>
      </c>
      <c r="C15" s="217">
        <f>精算表!R15</f>
        <v>-1348443450</v>
      </c>
      <c r="D15" s="214" t="s">
        <v>138</v>
      </c>
      <c r="E15" s="218">
        <f>精算表!S74</f>
        <v>0</v>
      </c>
      <c r="G15" s="356"/>
      <c r="H15" s="224"/>
    </row>
    <row r="16" spans="1:8" ht="17.45" customHeight="1" x14ac:dyDescent="0.4">
      <c r="B16" s="214" t="s">
        <v>139</v>
      </c>
      <c r="C16" s="217">
        <f>精算表!R16</f>
        <v>0</v>
      </c>
      <c r="D16" s="214" t="s">
        <v>140</v>
      </c>
      <c r="E16" s="218">
        <f>精算表!S75</f>
        <v>0</v>
      </c>
      <c r="H16" s="224"/>
    </row>
    <row r="17" spans="2:8" ht="17.45" customHeight="1" x14ac:dyDescent="0.4">
      <c r="B17" s="214" t="s">
        <v>141</v>
      </c>
      <c r="C17" s="217">
        <f>精算表!R17</f>
        <v>0</v>
      </c>
      <c r="D17" s="214" t="s">
        <v>142</v>
      </c>
      <c r="E17" s="218">
        <f>精算表!S76</f>
        <v>0</v>
      </c>
      <c r="H17" s="224"/>
    </row>
    <row r="18" spans="2:8" ht="17.45" customHeight="1" x14ac:dyDescent="0.4">
      <c r="B18" s="214" t="s">
        <v>143</v>
      </c>
      <c r="C18" s="217">
        <f>精算表!R18</f>
        <v>0</v>
      </c>
      <c r="D18" s="214" t="s">
        <v>144</v>
      </c>
      <c r="E18" s="218">
        <f>精算表!S77</f>
        <v>0</v>
      </c>
      <c r="H18" s="224"/>
    </row>
    <row r="19" spans="2:8" ht="17.45" customHeight="1" x14ac:dyDescent="0.4">
      <c r="B19" s="214" t="s">
        <v>145</v>
      </c>
      <c r="C19" s="217">
        <f>精算表!R19</f>
        <v>0</v>
      </c>
      <c r="D19" s="214" t="s">
        <v>146</v>
      </c>
      <c r="E19" s="218">
        <f>精算表!S78</f>
        <v>98843397</v>
      </c>
      <c r="H19" s="224"/>
    </row>
    <row r="20" spans="2:8" ht="17.45" customHeight="1" x14ac:dyDescent="0.4">
      <c r="B20" s="214" t="s">
        <v>147</v>
      </c>
      <c r="C20" s="217">
        <f>精算表!R20</f>
        <v>0</v>
      </c>
      <c r="D20" s="214" t="s">
        <v>148</v>
      </c>
      <c r="E20" s="218">
        <f>精算表!S79</f>
        <v>52058814</v>
      </c>
      <c r="H20" s="224"/>
    </row>
    <row r="21" spans="2:8" ht="17.45" customHeight="1" x14ac:dyDescent="0.4">
      <c r="B21" s="214" t="s">
        <v>149</v>
      </c>
      <c r="C21" s="217">
        <f>精算表!R21</f>
        <v>0</v>
      </c>
      <c r="D21" s="214" t="s">
        <v>132</v>
      </c>
      <c r="E21" s="218">
        <f>精算表!S80</f>
        <v>13685000</v>
      </c>
      <c r="H21" s="224"/>
    </row>
    <row r="22" spans="2:8" ht="17.45" customHeight="1" x14ac:dyDescent="0.4">
      <c r="B22" s="214" t="s">
        <v>150</v>
      </c>
      <c r="C22" s="217">
        <f>精算表!R22</f>
        <v>0</v>
      </c>
      <c r="D22" s="219" t="s">
        <v>151</v>
      </c>
      <c r="E22" s="220">
        <f>E7+E13</f>
        <v>5333367743</v>
      </c>
      <c r="H22" s="224"/>
    </row>
    <row r="23" spans="2:8" ht="17.45" customHeight="1" x14ac:dyDescent="0.4">
      <c r="B23" s="214" t="s">
        <v>152</v>
      </c>
      <c r="C23" s="217">
        <f>精算表!R23</f>
        <v>0</v>
      </c>
      <c r="D23" s="214" t="s">
        <v>153</v>
      </c>
      <c r="E23" s="221"/>
      <c r="H23" s="224"/>
    </row>
    <row r="24" spans="2:8" ht="17.45" customHeight="1" x14ac:dyDescent="0.4">
      <c r="B24" s="214" t="s">
        <v>154</v>
      </c>
      <c r="C24" s="217">
        <f>精算表!R24</f>
        <v>8970940</v>
      </c>
      <c r="D24" s="214" t="s">
        <v>155</v>
      </c>
      <c r="E24" s="218">
        <f>精算表!S84</f>
        <v>14232095654</v>
      </c>
      <c r="F24" s="356"/>
      <c r="G24" s="356"/>
      <c r="H24" s="224"/>
    </row>
    <row r="25" spans="2:8" ht="17.45" customHeight="1" x14ac:dyDescent="0.4">
      <c r="B25" s="214" t="s">
        <v>156</v>
      </c>
      <c r="C25" s="217">
        <f>SUM(C26:C33)</f>
        <v>5042962438</v>
      </c>
      <c r="D25" s="214" t="s">
        <v>157</v>
      </c>
      <c r="E25" s="218">
        <f>精算表!S85</f>
        <v>-4968640539</v>
      </c>
      <c r="F25" s="356"/>
      <c r="G25" s="356"/>
      <c r="H25" s="224"/>
    </row>
    <row r="26" spans="2:8" ht="17.45" customHeight="1" x14ac:dyDescent="0.4">
      <c r="B26" s="214" t="s">
        <v>127</v>
      </c>
      <c r="C26" s="217">
        <f>精算表!R26</f>
        <v>70432699</v>
      </c>
      <c r="D26" s="216"/>
      <c r="E26" s="221"/>
      <c r="G26" s="356"/>
      <c r="H26" s="224"/>
    </row>
    <row r="27" spans="2:8" ht="17.45" customHeight="1" x14ac:dyDescent="0.4">
      <c r="B27" s="214" t="s">
        <v>131</v>
      </c>
      <c r="C27" s="217">
        <f>精算表!R27</f>
        <v>1220921754</v>
      </c>
      <c r="D27" s="216"/>
      <c r="E27" s="358"/>
      <c r="F27" s="354"/>
      <c r="G27" s="356"/>
      <c r="H27" s="224"/>
    </row>
    <row r="28" spans="2:8" ht="17.45" customHeight="1" x14ac:dyDescent="0.4">
      <c r="B28" s="214" t="s">
        <v>133</v>
      </c>
      <c r="C28" s="217">
        <f>精算表!R28</f>
        <v>-656874155</v>
      </c>
      <c r="D28" s="216"/>
      <c r="E28" s="221"/>
      <c r="G28" s="356"/>
      <c r="H28" s="224"/>
    </row>
    <row r="29" spans="2:8" ht="17.45" customHeight="1" x14ac:dyDescent="0.4">
      <c r="B29" s="214" t="s">
        <v>135</v>
      </c>
      <c r="C29" s="217">
        <f>精算表!R29</f>
        <v>18171885556</v>
      </c>
      <c r="D29" s="216"/>
      <c r="E29" s="221"/>
      <c r="G29" s="356"/>
      <c r="H29" s="224"/>
    </row>
    <row r="30" spans="2:8" ht="17.45" customHeight="1" x14ac:dyDescent="0.4">
      <c r="B30" s="214" t="s">
        <v>137</v>
      </c>
      <c r="C30" s="217">
        <f>精算表!R30</f>
        <v>-13785565416</v>
      </c>
      <c r="D30" s="216"/>
      <c r="E30" s="221"/>
      <c r="F30" s="224"/>
      <c r="G30" s="356"/>
      <c r="H30" s="224"/>
    </row>
    <row r="31" spans="2:8" ht="17.45" customHeight="1" x14ac:dyDescent="0.4">
      <c r="B31" s="214" t="s">
        <v>150</v>
      </c>
      <c r="C31" s="217">
        <f>精算表!R31</f>
        <v>0</v>
      </c>
      <c r="D31" s="216"/>
      <c r="E31" s="221"/>
      <c r="H31" s="224"/>
    </row>
    <row r="32" spans="2:8" ht="17.45" customHeight="1" x14ac:dyDescent="0.4">
      <c r="B32" s="214" t="s">
        <v>152</v>
      </c>
      <c r="C32" s="217">
        <f>精算表!R32</f>
        <v>0</v>
      </c>
      <c r="D32" s="216"/>
      <c r="E32" s="221"/>
      <c r="H32" s="224"/>
    </row>
    <row r="33" spans="2:8" ht="17.45" customHeight="1" x14ac:dyDescent="0.4">
      <c r="B33" s="214" t="s">
        <v>154</v>
      </c>
      <c r="C33" s="217">
        <f>精算表!R33</f>
        <v>22162000</v>
      </c>
      <c r="D33" s="216"/>
      <c r="E33" s="221"/>
      <c r="H33" s="224"/>
    </row>
    <row r="34" spans="2:8" ht="17.45" customHeight="1" x14ac:dyDescent="0.4">
      <c r="B34" s="214" t="s">
        <v>158</v>
      </c>
      <c r="C34" s="217">
        <f>精算表!R34</f>
        <v>720486298</v>
      </c>
      <c r="D34" s="216"/>
      <c r="E34" s="221"/>
      <c r="G34" s="356"/>
      <c r="H34" s="224"/>
    </row>
    <row r="35" spans="2:8" ht="17.45" customHeight="1" x14ac:dyDescent="0.4">
      <c r="B35" s="214" t="s">
        <v>159</v>
      </c>
      <c r="C35" s="217">
        <f>精算表!R35</f>
        <v>-646527972</v>
      </c>
      <c r="D35" s="216"/>
      <c r="E35" s="221"/>
      <c r="G35" s="356"/>
      <c r="H35" s="224"/>
    </row>
    <row r="36" spans="2:8" ht="17.45" customHeight="1" x14ac:dyDescent="0.4">
      <c r="B36" s="214" t="s">
        <v>160</v>
      </c>
      <c r="C36" s="217">
        <f>SUM(C37:C38)</f>
        <v>25421910</v>
      </c>
      <c r="D36" s="216"/>
      <c r="E36" s="221"/>
      <c r="H36" s="224"/>
    </row>
    <row r="37" spans="2:8" ht="17.45" customHeight="1" x14ac:dyDescent="0.4">
      <c r="B37" s="214" t="s">
        <v>161</v>
      </c>
      <c r="C37" s="217">
        <f>精算表!R37</f>
        <v>25421910</v>
      </c>
      <c r="D37" s="216"/>
      <c r="E37" s="221"/>
      <c r="H37" s="224"/>
    </row>
    <row r="38" spans="2:8" ht="17.45" customHeight="1" x14ac:dyDescent="0.4">
      <c r="B38" s="214" t="s">
        <v>162</v>
      </c>
      <c r="C38" s="217">
        <f>精算表!R38</f>
        <v>0</v>
      </c>
      <c r="D38" s="216"/>
      <c r="E38" s="221"/>
      <c r="H38" s="224"/>
    </row>
    <row r="39" spans="2:8" ht="17.45" customHeight="1" x14ac:dyDescent="0.4">
      <c r="B39" s="214" t="s">
        <v>163</v>
      </c>
      <c r="C39" s="217">
        <f>C40+SUM(C44:C47)+SUM(C50:C51)</f>
        <v>1784855206</v>
      </c>
      <c r="D39" s="216"/>
      <c r="E39" s="221"/>
      <c r="H39" s="224"/>
    </row>
    <row r="40" spans="2:8" ht="17.45" customHeight="1" x14ac:dyDescent="0.4">
      <c r="B40" s="214" t="s">
        <v>164</v>
      </c>
      <c r="C40" s="217">
        <f>SUM(C41:C43)</f>
        <v>648684000</v>
      </c>
      <c r="D40" s="216"/>
      <c r="E40" s="221"/>
      <c r="H40" s="224"/>
    </row>
    <row r="41" spans="2:8" ht="17.45" customHeight="1" x14ac:dyDescent="0.4">
      <c r="B41" s="214" t="s">
        <v>165</v>
      </c>
      <c r="C41" s="217">
        <f>精算表!R42</f>
        <v>200000</v>
      </c>
      <c r="D41" s="216"/>
      <c r="E41" s="221"/>
      <c r="H41" s="224"/>
    </row>
    <row r="42" spans="2:8" ht="17.45" customHeight="1" x14ac:dyDescent="0.4">
      <c r="B42" s="214" t="s">
        <v>166</v>
      </c>
      <c r="C42" s="217">
        <f>精算表!R43</f>
        <v>648484000</v>
      </c>
      <c r="D42" s="216"/>
      <c r="E42" s="221"/>
      <c r="H42" s="224"/>
    </row>
    <row r="43" spans="2:8" ht="17.45" customHeight="1" x14ac:dyDescent="0.4">
      <c r="B43" s="214" t="s">
        <v>150</v>
      </c>
      <c r="C43" s="217">
        <f>精算表!R44</f>
        <v>0</v>
      </c>
      <c r="D43" s="216"/>
      <c r="E43" s="221"/>
      <c r="H43" s="224"/>
    </row>
    <row r="44" spans="2:8" ht="17.45" customHeight="1" x14ac:dyDescent="0.4">
      <c r="B44" s="214" t="s">
        <v>167</v>
      </c>
      <c r="C44" s="217">
        <f>精算表!R45</f>
        <v>0</v>
      </c>
      <c r="D44" s="216"/>
      <c r="E44" s="221"/>
      <c r="H44" s="224"/>
    </row>
    <row r="45" spans="2:8" ht="17.45" customHeight="1" x14ac:dyDescent="0.4">
      <c r="B45" s="214" t="s">
        <v>168</v>
      </c>
      <c r="C45" s="217">
        <f>精算表!R46</f>
        <v>55734118</v>
      </c>
      <c r="D45" s="216"/>
      <c r="E45" s="221"/>
      <c r="H45" s="224"/>
    </row>
    <row r="46" spans="2:8" ht="17.45" customHeight="1" x14ac:dyDescent="0.4">
      <c r="B46" s="214" t="s">
        <v>169</v>
      </c>
      <c r="C46" s="217">
        <f>精算表!R47</f>
        <v>0</v>
      </c>
      <c r="D46" s="216"/>
      <c r="E46" s="221"/>
      <c r="H46" s="224"/>
    </row>
    <row r="47" spans="2:8" ht="17.45" customHeight="1" x14ac:dyDescent="0.4">
      <c r="B47" s="214" t="s">
        <v>170</v>
      </c>
      <c r="C47" s="217">
        <f>SUM(C48:C49)</f>
        <v>1085265999</v>
      </c>
      <c r="D47" s="216"/>
      <c r="E47" s="221"/>
      <c r="H47" s="224"/>
    </row>
    <row r="48" spans="2:8" ht="17.45" customHeight="1" x14ac:dyDescent="0.4">
      <c r="B48" s="214" t="s">
        <v>171</v>
      </c>
      <c r="C48" s="217">
        <f>精算表!R49</f>
        <v>0</v>
      </c>
      <c r="D48" s="216"/>
      <c r="E48" s="221"/>
      <c r="H48" s="224"/>
    </row>
    <row r="49" spans="2:8" ht="17.45" customHeight="1" x14ac:dyDescent="0.4">
      <c r="B49" s="214" t="s">
        <v>150</v>
      </c>
      <c r="C49" s="217">
        <f>精算表!R50</f>
        <v>1085265999</v>
      </c>
      <c r="D49" s="216"/>
      <c r="E49" s="221"/>
      <c r="H49" s="224"/>
    </row>
    <row r="50" spans="2:8" ht="17.45" customHeight="1" x14ac:dyDescent="0.4">
      <c r="B50" s="214" t="s">
        <v>162</v>
      </c>
      <c r="C50" s="217">
        <f>精算表!R51</f>
        <v>0</v>
      </c>
      <c r="D50" s="221"/>
      <c r="E50" s="221"/>
      <c r="H50" s="224"/>
    </row>
    <row r="51" spans="2:8" ht="17.45" customHeight="1" x14ac:dyDescent="0.4">
      <c r="B51" s="214" t="s">
        <v>172</v>
      </c>
      <c r="C51" s="217">
        <f>精算表!R52</f>
        <v>-4828911</v>
      </c>
      <c r="D51" s="216"/>
      <c r="E51" s="221"/>
      <c r="H51" s="224"/>
    </row>
    <row r="52" spans="2:8" ht="17.45" customHeight="1" x14ac:dyDescent="0.4">
      <c r="B52" s="214" t="s">
        <v>173</v>
      </c>
      <c r="C52" s="217">
        <f>SUM(C53:C56)+SUM(C59:C61)</f>
        <v>1933398204</v>
      </c>
      <c r="D52" s="216"/>
      <c r="E52" s="221"/>
      <c r="H52" s="224"/>
    </row>
    <row r="53" spans="2:8" ht="17.45" customHeight="1" x14ac:dyDescent="0.4">
      <c r="B53" s="214" t="s">
        <v>174</v>
      </c>
      <c r="C53" s="217">
        <f>精算表!R54</f>
        <v>316637477</v>
      </c>
      <c r="D53" s="216"/>
      <c r="E53" s="221"/>
      <c r="H53" s="224"/>
    </row>
    <row r="54" spans="2:8" ht="17.45" customHeight="1" x14ac:dyDescent="0.4">
      <c r="B54" s="214" t="s">
        <v>175</v>
      </c>
      <c r="C54" s="217">
        <f>精算表!R55</f>
        <v>51338300</v>
      </c>
      <c r="D54" s="216"/>
      <c r="E54" s="221"/>
      <c r="H54" s="224"/>
    </row>
    <row r="55" spans="2:8" ht="17.45" customHeight="1" x14ac:dyDescent="0.4">
      <c r="B55" s="214" t="s">
        <v>176</v>
      </c>
      <c r="C55" s="217">
        <f>精算表!R56</f>
        <v>0</v>
      </c>
      <c r="D55" s="216"/>
      <c r="E55" s="221"/>
      <c r="H55" s="224"/>
    </row>
    <row r="56" spans="2:8" ht="17.45" customHeight="1" x14ac:dyDescent="0.4">
      <c r="B56" s="214" t="s">
        <v>177</v>
      </c>
      <c r="C56" s="217">
        <f>SUM(C57:C58)</f>
        <v>1568671000</v>
      </c>
      <c r="D56" s="216"/>
      <c r="E56" s="221"/>
      <c r="F56" s="213" t="s">
        <v>551</v>
      </c>
      <c r="H56" s="224"/>
    </row>
    <row r="57" spans="2:8" ht="17.45" customHeight="1" x14ac:dyDescent="0.4">
      <c r="B57" s="214" t="s">
        <v>178</v>
      </c>
      <c r="C57" s="217">
        <f>精算表!R58</f>
        <v>1456907000</v>
      </c>
      <c r="D57" s="216"/>
      <c r="E57" s="221"/>
      <c r="H57" s="224"/>
    </row>
    <row r="58" spans="2:8" ht="17.45" customHeight="1" x14ac:dyDescent="0.4">
      <c r="B58" s="214" t="s">
        <v>179</v>
      </c>
      <c r="C58" s="217">
        <f>精算表!R59</f>
        <v>111764000</v>
      </c>
      <c r="D58" s="221"/>
      <c r="E58" s="221"/>
      <c r="H58" s="224"/>
    </row>
    <row r="59" spans="2:8" ht="17.45" customHeight="1" x14ac:dyDescent="0.4">
      <c r="B59" s="214" t="s">
        <v>180</v>
      </c>
      <c r="C59" s="217">
        <f>精算表!R60</f>
        <v>0</v>
      </c>
      <c r="D59" s="216"/>
      <c r="E59" s="221"/>
      <c r="H59" s="224"/>
    </row>
    <row r="60" spans="2:8" ht="17.45" customHeight="1" x14ac:dyDescent="0.4">
      <c r="B60" s="214" t="s">
        <v>132</v>
      </c>
      <c r="C60" s="217">
        <f>精算表!R61</f>
        <v>0</v>
      </c>
      <c r="D60" s="216"/>
      <c r="E60" s="221"/>
      <c r="H60" s="224"/>
    </row>
    <row r="61" spans="2:8" ht="17.45" customHeight="1" x14ac:dyDescent="0.4">
      <c r="B61" s="357" t="s">
        <v>181</v>
      </c>
      <c r="C61" s="217">
        <f>精算表!R62</f>
        <v>-3248573</v>
      </c>
      <c r="D61" s="219" t="s">
        <v>182</v>
      </c>
      <c r="E61" s="220">
        <f>SUM(E24:E60)</f>
        <v>9263455115</v>
      </c>
      <c r="H61" s="224"/>
    </row>
    <row r="62" spans="2:8" ht="17.45" customHeight="1" x14ac:dyDescent="0.4">
      <c r="B62" s="219" t="s">
        <v>183</v>
      </c>
      <c r="C62" s="222">
        <f>C7+C52</f>
        <v>14596822858</v>
      </c>
      <c r="D62" s="219" t="s">
        <v>184</v>
      </c>
      <c r="E62" s="220">
        <f>E22+E61</f>
        <v>14596822858</v>
      </c>
    </row>
    <row r="63" spans="2:8" ht="17.45" customHeight="1" x14ac:dyDescent="0.4">
      <c r="B63" s="223"/>
      <c r="C63" s="223"/>
      <c r="D63" s="223"/>
      <c r="E63" s="362">
        <f>C62-E62</f>
        <v>0</v>
      </c>
    </row>
    <row r="64" spans="2:8" ht="17.45" customHeight="1" x14ac:dyDescent="0.4">
      <c r="B64" s="208"/>
    </row>
    <row r="65" spans="2:2" ht="17.45" customHeight="1" x14ac:dyDescent="0.4">
      <c r="B65" s="208"/>
    </row>
    <row r="66" spans="2:2" ht="17.45" customHeight="1" x14ac:dyDescent="0.4">
      <c r="B66" s="208"/>
    </row>
  </sheetData>
  <mergeCells count="2">
    <mergeCell ref="B2:E2"/>
    <mergeCell ref="B3:E3"/>
  </mergeCells>
  <phoneticPr fontId="1"/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D157-4AB5-4A28-97FA-ED1B3A41244F}">
  <sheetPr>
    <tabColor theme="7"/>
    <pageSetUpPr fitToPage="1"/>
  </sheetPr>
  <dimension ref="A1:E41"/>
  <sheetViews>
    <sheetView workbookViewId="0">
      <selection activeCell="E41" sqref="E41"/>
    </sheetView>
  </sheetViews>
  <sheetFormatPr defaultColWidth="8.625" defaultRowHeight="17.45" customHeight="1" x14ac:dyDescent="0.4"/>
  <cols>
    <col min="1" max="1" width="2.125" style="213" customWidth="1"/>
    <col min="2" max="4" width="15.625" style="213" customWidth="1"/>
    <col min="5" max="5" width="25.625" style="213" customWidth="1"/>
    <col min="6" max="16384" width="8.625" style="213"/>
  </cols>
  <sheetData>
    <row r="1" spans="1:5" ht="17.45" customHeight="1" x14ac:dyDescent="0.4">
      <c r="A1" s="281" t="str">
        <f>チェックシート!$C$2</f>
        <v>白子町</v>
      </c>
      <c r="E1" s="205" t="s">
        <v>552</v>
      </c>
    </row>
    <row r="2" spans="1:5" ht="17.45" customHeight="1" x14ac:dyDescent="0.4">
      <c r="B2" s="390" t="s">
        <v>553</v>
      </c>
      <c r="C2" s="390"/>
      <c r="D2" s="390"/>
      <c r="E2" s="390"/>
    </row>
    <row r="3" spans="1:5" ht="17.45" customHeight="1" x14ac:dyDescent="0.4">
      <c r="B3" s="391" t="str">
        <f>"自　令和"&amp;チェックシート!C3&amp;"年 4月 1日"</f>
        <v>自　令和5年 4月 1日</v>
      </c>
      <c r="C3" s="391"/>
      <c r="D3" s="391"/>
      <c r="E3" s="391"/>
    </row>
    <row r="4" spans="1:5" ht="17.45" customHeight="1" x14ac:dyDescent="0.4">
      <c r="B4" s="391" t="str">
        <f>"至　令和"&amp;チェックシート!C3+1&amp;"年 3月31日"</f>
        <v>至　令和6年 3月31日</v>
      </c>
      <c r="C4" s="391"/>
      <c r="D4" s="391"/>
      <c r="E4" s="391"/>
    </row>
    <row r="5" spans="1:5" ht="17.45" customHeight="1" x14ac:dyDescent="0.4">
      <c r="B5" s="208"/>
      <c r="E5" s="205" t="s">
        <v>579</v>
      </c>
    </row>
    <row r="6" spans="1:5" ht="24.95" customHeight="1" x14ac:dyDescent="0.4">
      <c r="B6" s="395" t="s">
        <v>117</v>
      </c>
      <c r="C6" s="396"/>
      <c r="D6" s="397"/>
      <c r="E6" s="42" t="s">
        <v>118</v>
      </c>
    </row>
    <row r="7" spans="1:5" ht="17.45" customHeight="1" x14ac:dyDescent="0.4">
      <c r="B7" s="398" t="s">
        <v>554</v>
      </c>
      <c r="C7" s="399"/>
      <c r="D7" s="400"/>
      <c r="E7" s="231">
        <f>E8+E23</f>
        <v>4769907756</v>
      </c>
    </row>
    <row r="8" spans="1:5" ht="17.45" customHeight="1" x14ac:dyDescent="0.4">
      <c r="B8" s="392" t="s">
        <v>437</v>
      </c>
      <c r="C8" s="393"/>
      <c r="D8" s="394"/>
      <c r="E8" s="221">
        <f>E9+E14+E19</f>
        <v>2610714306</v>
      </c>
    </row>
    <row r="9" spans="1:5" ht="17.45" customHeight="1" x14ac:dyDescent="0.4">
      <c r="B9" s="392" t="s">
        <v>438</v>
      </c>
      <c r="C9" s="393"/>
      <c r="D9" s="394"/>
      <c r="E9" s="221">
        <f>SUM(E10:E13)</f>
        <v>1153968274</v>
      </c>
    </row>
    <row r="10" spans="1:5" ht="17.45" customHeight="1" x14ac:dyDescent="0.4">
      <c r="B10" s="392" t="s">
        <v>439</v>
      </c>
      <c r="C10" s="393"/>
      <c r="D10" s="394"/>
      <c r="E10" s="221">
        <f>精算表!R95</f>
        <v>1022863791</v>
      </c>
    </row>
    <row r="11" spans="1:5" ht="17.45" customHeight="1" x14ac:dyDescent="0.4">
      <c r="B11" s="392" t="s">
        <v>440</v>
      </c>
      <c r="C11" s="393"/>
      <c r="D11" s="394"/>
      <c r="E11" s="221">
        <f>精算表!R96</f>
        <v>30406689</v>
      </c>
    </row>
    <row r="12" spans="1:5" ht="17.45" customHeight="1" x14ac:dyDescent="0.4">
      <c r="B12" s="392" t="s">
        <v>441</v>
      </c>
      <c r="C12" s="393"/>
      <c r="D12" s="394"/>
      <c r="E12" s="221">
        <f>精算表!R97</f>
        <v>0</v>
      </c>
    </row>
    <row r="13" spans="1:5" ht="17.45" customHeight="1" x14ac:dyDescent="0.4">
      <c r="B13" s="392" t="s">
        <v>150</v>
      </c>
      <c r="C13" s="393"/>
      <c r="D13" s="394"/>
      <c r="E13" s="221">
        <f>精算表!R98</f>
        <v>100697794</v>
      </c>
    </row>
    <row r="14" spans="1:5" ht="17.45" customHeight="1" x14ac:dyDescent="0.4">
      <c r="B14" s="392" t="s">
        <v>442</v>
      </c>
      <c r="C14" s="393"/>
      <c r="D14" s="394"/>
      <c r="E14" s="221">
        <f>SUM(E15:E18)</f>
        <v>1385822192</v>
      </c>
    </row>
    <row r="15" spans="1:5" ht="17.45" customHeight="1" x14ac:dyDescent="0.4">
      <c r="B15" s="392" t="s">
        <v>443</v>
      </c>
      <c r="C15" s="393"/>
      <c r="D15" s="394"/>
      <c r="E15" s="221">
        <f>精算表!R100</f>
        <v>857611249</v>
      </c>
    </row>
    <row r="16" spans="1:5" ht="17.45" customHeight="1" x14ac:dyDescent="0.4">
      <c r="B16" s="392" t="s">
        <v>444</v>
      </c>
      <c r="C16" s="393"/>
      <c r="D16" s="394"/>
      <c r="E16" s="221">
        <f>精算表!R101</f>
        <v>28343288</v>
      </c>
    </row>
    <row r="17" spans="2:5" ht="17.45" customHeight="1" x14ac:dyDescent="0.4">
      <c r="B17" s="392" t="s">
        <v>445</v>
      </c>
      <c r="C17" s="393"/>
      <c r="D17" s="394"/>
      <c r="E17" s="221">
        <f>精算表!R102</f>
        <v>499867655</v>
      </c>
    </row>
    <row r="18" spans="2:5" ht="17.45" customHeight="1" x14ac:dyDescent="0.4">
      <c r="B18" s="392" t="s">
        <v>150</v>
      </c>
      <c r="C18" s="393"/>
      <c r="D18" s="394"/>
      <c r="E18" s="221">
        <f>精算表!R103</f>
        <v>0</v>
      </c>
    </row>
    <row r="19" spans="2:5" ht="17.45" customHeight="1" x14ac:dyDescent="0.4">
      <c r="B19" s="392" t="s">
        <v>446</v>
      </c>
      <c r="C19" s="393"/>
      <c r="D19" s="394"/>
      <c r="E19" s="221">
        <f>SUM(E20:E22)</f>
        <v>70923840</v>
      </c>
    </row>
    <row r="20" spans="2:5" ht="17.45" customHeight="1" x14ac:dyDescent="0.4">
      <c r="B20" s="392" t="s">
        <v>447</v>
      </c>
      <c r="C20" s="393"/>
      <c r="D20" s="394"/>
      <c r="E20" s="221">
        <f>精算表!R105</f>
        <v>13930964</v>
      </c>
    </row>
    <row r="21" spans="2:5" ht="17.45" customHeight="1" x14ac:dyDescent="0.4">
      <c r="B21" s="392" t="s">
        <v>448</v>
      </c>
      <c r="C21" s="393"/>
      <c r="D21" s="394"/>
      <c r="E21" s="221">
        <f>精算表!R106</f>
        <v>5999134</v>
      </c>
    </row>
    <row r="22" spans="2:5" ht="17.45" customHeight="1" x14ac:dyDescent="0.4">
      <c r="B22" s="392" t="s">
        <v>150</v>
      </c>
      <c r="C22" s="393"/>
      <c r="D22" s="394"/>
      <c r="E22" s="221">
        <f>精算表!R107</f>
        <v>50993742</v>
      </c>
    </row>
    <row r="23" spans="2:5" ht="17.45" customHeight="1" x14ac:dyDescent="0.4">
      <c r="B23" s="392" t="s">
        <v>449</v>
      </c>
      <c r="C23" s="393"/>
      <c r="D23" s="394"/>
      <c r="E23" s="221">
        <f>SUM(E24:E27)</f>
        <v>2159193450</v>
      </c>
    </row>
    <row r="24" spans="2:5" ht="17.45" customHeight="1" x14ac:dyDescent="0.4">
      <c r="B24" s="392" t="s">
        <v>450</v>
      </c>
      <c r="C24" s="393"/>
      <c r="D24" s="394"/>
      <c r="E24" s="221">
        <f>精算表!R109</f>
        <v>1224815066</v>
      </c>
    </row>
    <row r="25" spans="2:5" ht="17.45" customHeight="1" x14ac:dyDescent="0.4">
      <c r="B25" s="392" t="s">
        <v>451</v>
      </c>
      <c r="C25" s="393"/>
      <c r="D25" s="394"/>
      <c r="E25" s="221">
        <f>精算表!R110</f>
        <v>460155840</v>
      </c>
    </row>
    <row r="26" spans="2:5" ht="17.45" customHeight="1" x14ac:dyDescent="0.4">
      <c r="B26" s="392" t="s">
        <v>452</v>
      </c>
      <c r="C26" s="393"/>
      <c r="D26" s="394"/>
      <c r="E26" s="221">
        <f>精算表!R111</f>
        <v>473845014</v>
      </c>
    </row>
    <row r="27" spans="2:5" ht="17.45" customHeight="1" x14ac:dyDescent="0.4">
      <c r="B27" s="392" t="s">
        <v>162</v>
      </c>
      <c r="C27" s="393"/>
      <c r="D27" s="394"/>
      <c r="E27" s="221">
        <f>精算表!R112</f>
        <v>377530</v>
      </c>
    </row>
    <row r="28" spans="2:5" ht="17.45" customHeight="1" x14ac:dyDescent="0.4">
      <c r="B28" s="392" t="s">
        <v>555</v>
      </c>
      <c r="C28" s="393"/>
      <c r="D28" s="394"/>
      <c r="E28" s="221">
        <f>SUM(E29:E30)</f>
        <v>219044193</v>
      </c>
    </row>
    <row r="29" spans="2:5" ht="17.45" customHeight="1" x14ac:dyDescent="0.4">
      <c r="B29" s="392" t="s">
        <v>454</v>
      </c>
      <c r="C29" s="393"/>
      <c r="D29" s="394"/>
      <c r="E29" s="221">
        <f>精算表!S114</f>
        <v>50499048</v>
      </c>
    </row>
    <row r="30" spans="2:5" ht="17.45" customHeight="1" x14ac:dyDescent="0.4">
      <c r="B30" s="401" t="s">
        <v>132</v>
      </c>
      <c r="C30" s="402"/>
      <c r="D30" s="403"/>
      <c r="E30" s="232">
        <f>精算表!S115</f>
        <v>168545145</v>
      </c>
    </row>
    <row r="31" spans="2:5" ht="17.45" customHeight="1" x14ac:dyDescent="0.4">
      <c r="B31" s="251" t="s">
        <v>455</v>
      </c>
      <c r="C31" s="322"/>
      <c r="D31" s="323"/>
      <c r="E31" s="225">
        <f>E7-E28</f>
        <v>4550863563</v>
      </c>
    </row>
    <row r="32" spans="2:5" ht="17.45" customHeight="1" x14ac:dyDescent="0.4">
      <c r="B32" s="398" t="s">
        <v>556</v>
      </c>
      <c r="C32" s="399"/>
      <c r="D32" s="400"/>
      <c r="E32" s="231">
        <f>SUM(E33:E37)</f>
        <v>884086</v>
      </c>
    </row>
    <row r="33" spans="2:5" ht="17.45" customHeight="1" x14ac:dyDescent="0.4">
      <c r="B33" s="392" t="s">
        <v>457</v>
      </c>
      <c r="C33" s="393"/>
      <c r="D33" s="394"/>
      <c r="E33" s="221">
        <f>精算表!R118</f>
        <v>0</v>
      </c>
    </row>
    <row r="34" spans="2:5" ht="17.45" customHeight="1" x14ac:dyDescent="0.4">
      <c r="B34" s="392" t="s">
        <v>458</v>
      </c>
      <c r="C34" s="393"/>
      <c r="D34" s="394"/>
      <c r="E34" s="221">
        <f>精算表!R119</f>
        <v>884086</v>
      </c>
    </row>
    <row r="35" spans="2:5" ht="17.45" customHeight="1" x14ac:dyDescent="0.4">
      <c r="B35" s="392" t="s">
        <v>459</v>
      </c>
      <c r="C35" s="393"/>
      <c r="D35" s="394"/>
      <c r="E35" s="221">
        <f>精算表!R120</f>
        <v>0</v>
      </c>
    </row>
    <row r="36" spans="2:5" ht="17.45" customHeight="1" x14ac:dyDescent="0.4">
      <c r="B36" s="392" t="s">
        <v>460</v>
      </c>
      <c r="C36" s="393"/>
      <c r="D36" s="394"/>
      <c r="E36" s="221">
        <f>精算表!R121</f>
        <v>0</v>
      </c>
    </row>
    <row r="37" spans="2:5" ht="17.45" customHeight="1" x14ac:dyDescent="0.4">
      <c r="B37" s="392" t="s">
        <v>132</v>
      </c>
      <c r="C37" s="393"/>
      <c r="D37" s="394"/>
      <c r="E37" s="221">
        <f>精算表!R122</f>
        <v>0</v>
      </c>
    </row>
    <row r="38" spans="2:5" ht="17.45" customHeight="1" x14ac:dyDescent="0.4">
      <c r="B38" s="392" t="s">
        <v>557</v>
      </c>
      <c r="C38" s="393"/>
      <c r="D38" s="394"/>
      <c r="E38" s="221">
        <f>SUM(E39:E40)</f>
        <v>1129864</v>
      </c>
    </row>
    <row r="39" spans="2:5" ht="17.45" customHeight="1" x14ac:dyDescent="0.4">
      <c r="B39" s="392" t="s">
        <v>462</v>
      </c>
      <c r="C39" s="393"/>
      <c r="D39" s="394"/>
      <c r="E39" s="221">
        <f>精算表!S124</f>
        <v>1129864</v>
      </c>
    </row>
    <row r="40" spans="2:5" ht="17.45" customHeight="1" x14ac:dyDescent="0.4">
      <c r="B40" s="401" t="s">
        <v>132</v>
      </c>
      <c r="C40" s="402"/>
      <c r="D40" s="403"/>
      <c r="E40" s="232">
        <f>精算表!S125</f>
        <v>0</v>
      </c>
    </row>
    <row r="41" spans="2:5" ht="17.45" customHeight="1" x14ac:dyDescent="0.4">
      <c r="B41" s="251" t="s">
        <v>558</v>
      </c>
      <c r="C41" s="322"/>
      <c r="D41" s="323"/>
      <c r="E41" s="225">
        <f>E31+E32-E38</f>
        <v>4550617785</v>
      </c>
    </row>
  </sheetData>
  <mergeCells count="37">
    <mergeCell ref="B38:D38"/>
    <mergeCell ref="B39:D39"/>
    <mergeCell ref="B40:D40"/>
    <mergeCell ref="B35:D35"/>
    <mergeCell ref="B36:D36"/>
    <mergeCell ref="B37:D37"/>
    <mergeCell ref="B32:D32"/>
    <mergeCell ref="B33:D33"/>
    <mergeCell ref="B34:D34"/>
    <mergeCell ref="B29:D29"/>
    <mergeCell ref="B30:D30"/>
    <mergeCell ref="B26:D26"/>
    <mergeCell ref="B27:D27"/>
    <mergeCell ref="B28:D28"/>
    <mergeCell ref="B23:D23"/>
    <mergeCell ref="B24:D24"/>
    <mergeCell ref="B25:D25"/>
    <mergeCell ref="B20:D20"/>
    <mergeCell ref="B21:D21"/>
    <mergeCell ref="B22:D22"/>
    <mergeCell ref="B17:D17"/>
    <mergeCell ref="B18:D18"/>
    <mergeCell ref="B19:D19"/>
    <mergeCell ref="B14:D14"/>
    <mergeCell ref="B15:D15"/>
    <mergeCell ref="B16:D16"/>
    <mergeCell ref="B11:D11"/>
    <mergeCell ref="B12:D12"/>
    <mergeCell ref="B13:D13"/>
    <mergeCell ref="B8:D8"/>
    <mergeCell ref="B9:D9"/>
    <mergeCell ref="B10:D10"/>
    <mergeCell ref="B2:E2"/>
    <mergeCell ref="B3:E3"/>
    <mergeCell ref="B4:E4"/>
    <mergeCell ref="B6:D6"/>
    <mergeCell ref="B7:D7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4C3F-0546-4ADE-B891-D9644B5E5D31}">
  <sheetPr>
    <tabColor theme="7"/>
    <pageSetUpPr fitToPage="1"/>
  </sheetPr>
  <dimension ref="A1:F23"/>
  <sheetViews>
    <sheetView workbookViewId="0">
      <selection activeCell="E16" sqref="E16"/>
    </sheetView>
  </sheetViews>
  <sheetFormatPr defaultColWidth="8.625" defaultRowHeight="17.45" customHeight="1" x14ac:dyDescent="0.4"/>
  <cols>
    <col min="1" max="1" width="2.125" style="213" customWidth="1"/>
    <col min="2" max="2" width="30.625" style="213" customWidth="1"/>
    <col min="3" max="5" width="18.125" style="213" customWidth="1"/>
    <col min="6" max="6" width="15.625" style="213" customWidth="1"/>
    <col min="7" max="16384" width="8.625" style="213"/>
  </cols>
  <sheetData>
    <row r="1" spans="1:6" ht="17.45" customHeight="1" x14ac:dyDescent="0.4">
      <c r="A1" s="281" t="str">
        <f>チェックシート!$C$2</f>
        <v>白子町</v>
      </c>
      <c r="B1" s="211"/>
      <c r="F1" s="205" t="s">
        <v>559</v>
      </c>
    </row>
    <row r="2" spans="1:6" ht="17.45" customHeight="1" x14ac:dyDescent="0.4">
      <c r="B2" s="390" t="s">
        <v>560</v>
      </c>
      <c r="C2" s="390"/>
      <c r="D2" s="390"/>
      <c r="E2" s="390"/>
      <c r="F2" s="390"/>
    </row>
    <row r="3" spans="1:6" ht="17.45" customHeight="1" x14ac:dyDescent="0.4">
      <c r="B3" s="391" t="str">
        <f>"自　令和"&amp;チェックシート!C3&amp;"年 4月 1日"</f>
        <v>自　令和5年 4月 1日</v>
      </c>
      <c r="C3" s="391"/>
      <c r="D3" s="391"/>
      <c r="E3" s="391"/>
      <c r="F3" s="391"/>
    </row>
    <row r="4" spans="1:6" ht="17.45" customHeight="1" x14ac:dyDescent="0.4">
      <c r="B4" s="391" t="str">
        <f>"至　令和"&amp;チェックシート!C3+1&amp;"年 3月31日"</f>
        <v>至　令和6年 3月31日</v>
      </c>
      <c r="C4" s="391"/>
      <c r="D4" s="391"/>
      <c r="E4" s="391"/>
      <c r="F4" s="391"/>
    </row>
    <row r="5" spans="1:6" ht="17.45" customHeight="1" x14ac:dyDescent="0.4">
      <c r="B5" s="212"/>
      <c r="F5" s="205" t="s">
        <v>116</v>
      </c>
    </row>
    <row r="6" spans="1:6" ht="35.1" customHeight="1" x14ac:dyDescent="0.4">
      <c r="B6" s="42" t="s">
        <v>117</v>
      </c>
      <c r="C6" s="42" t="s">
        <v>330</v>
      </c>
      <c r="D6" s="210" t="s">
        <v>561</v>
      </c>
      <c r="E6" s="210" t="s">
        <v>562</v>
      </c>
      <c r="F6" s="42"/>
    </row>
    <row r="7" spans="1:6" ht="17.45" customHeight="1" x14ac:dyDescent="0.4">
      <c r="B7" s="219" t="s">
        <v>563</v>
      </c>
      <c r="C7" s="220">
        <f>D7+E7</f>
        <v>8968329379</v>
      </c>
      <c r="D7" s="220">
        <f>開始BS!$D$24</f>
        <v>14175831146</v>
      </c>
      <c r="E7" s="220">
        <f>開始BS!$D$25</f>
        <v>-5207501767</v>
      </c>
      <c r="F7" s="225"/>
    </row>
    <row r="8" spans="1:6" ht="17.45" customHeight="1" x14ac:dyDescent="0.4">
      <c r="B8" s="214" t="s">
        <v>466</v>
      </c>
      <c r="C8" s="218">
        <f>精算表!S132</f>
        <v>-4550617785</v>
      </c>
      <c r="D8" s="226"/>
      <c r="E8" s="218">
        <f>C8</f>
        <v>-4550617785</v>
      </c>
      <c r="F8" s="221"/>
    </row>
    <row r="9" spans="1:6" ht="17.45" customHeight="1" x14ac:dyDescent="0.4">
      <c r="B9" s="214" t="s">
        <v>467</v>
      </c>
      <c r="C9" s="218">
        <f>SUM(C10:C11)</f>
        <v>4743207330</v>
      </c>
      <c r="D9" s="227"/>
      <c r="E9" s="218">
        <f>C9</f>
        <v>4743207330</v>
      </c>
      <c r="F9" s="221"/>
    </row>
    <row r="10" spans="1:6" ht="17.45" customHeight="1" x14ac:dyDescent="0.4">
      <c r="B10" s="214" t="s">
        <v>468</v>
      </c>
      <c r="C10" s="218">
        <f>精算表!S134</f>
        <v>3840329383</v>
      </c>
      <c r="D10" s="227"/>
      <c r="E10" s="218">
        <f>C10</f>
        <v>3840329383</v>
      </c>
      <c r="F10" s="221"/>
    </row>
    <row r="11" spans="1:6" ht="17.45" customHeight="1" x14ac:dyDescent="0.4">
      <c r="B11" s="214" t="s">
        <v>469</v>
      </c>
      <c r="C11" s="218">
        <f>精算表!S135</f>
        <v>902877947</v>
      </c>
      <c r="D11" s="228"/>
      <c r="E11" s="218">
        <f>C11</f>
        <v>902877947</v>
      </c>
      <c r="F11" s="221"/>
    </row>
    <row r="12" spans="1:6" ht="17.45" customHeight="1" x14ac:dyDescent="0.4">
      <c r="B12" s="219" t="s">
        <v>470</v>
      </c>
      <c r="C12" s="220">
        <f>C8+C9</f>
        <v>192589545</v>
      </c>
      <c r="D12" s="229"/>
      <c r="E12" s="220">
        <f>E8+E9</f>
        <v>192589545</v>
      </c>
      <c r="F12" s="225"/>
    </row>
    <row r="13" spans="1:6" ht="17.45" customHeight="1" x14ac:dyDescent="0.4">
      <c r="B13" s="230" t="s">
        <v>471</v>
      </c>
      <c r="C13" s="226"/>
      <c r="D13" s="218">
        <f>SUM(D14:D17)</f>
        <v>-46271683</v>
      </c>
      <c r="E13" s="218">
        <f>SUM(E14:E17)</f>
        <v>46271683</v>
      </c>
      <c r="F13" s="221"/>
    </row>
    <row r="14" spans="1:6" ht="17.45" customHeight="1" x14ac:dyDescent="0.4">
      <c r="B14" s="214" t="s">
        <v>472</v>
      </c>
      <c r="C14" s="227"/>
      <c r="D14" s="218">
        <f>精算表!S138</f>
        <v>283676346</v>
      </c>
      <c r="E14" s="218">
        <f>-D14</f>
        <v>-283676346</v>
      </c>
      <c r="F14" s="221"/>
    </row>
    <row r="15" spans="1:6" ht="17.45" customHeight="1" x14ac:dyDescent="0.4">
      <c r="B15" s="214" t="s">
        <v>473</v>
      </c>
      <c r="C15" s="227"/>
      <c r="D15" s="218">
        <f>-精算表!R139</f>
        <v>-500751741</v>
      </c>
      <c r="E15" s="218">
        <f>-D15</f>
        <v>500751741</v>
      </c>
      <c r="F15" s="221"/>
    </row>
    <row r="16" spans="1:6" ht="17.45" customHeight="1" x14ac:dyDescent="0.4">
      <c r="B16" s="214" t="s">
        <v>474</v>
      </c>
      <c r="C16" s="227"/>
      <c r="D16" s="218">
        <f>精算表!S140</f>
        <v>339611317</v>
      </c>
      <c r="E16" s="218">
        <f>-D16</f>
        <v>-339611317</v>
      </c>
      <c r="F16" s="221"/>
    </row>
    <row r="17" spans="2:6" ht="17.45" customHeight="1" x14ac:dyDescent="0.4">
      <c r="B17" s="214" t="s">
        <v>475</v>
      </c>
      <c r="C17" s="227"/>
      <c r="D17" s="218">
        <f>-精算表!R141</f>
        <v>-168807605</v>
      </c>
      <c r="E17" s="218">
        <f>-D17</f>
        <v>168807605</v>
      </c>
      <c r="F17" s="221"/>
    </row>
    <row r="18" spans="2:6" ht="17.45" customHeight="1" x14ac:dyDescent="0.4">
      <c r="B18" s="214" t="s">
        <v>477</v>
      </c>
      <c r="C18" s="218">
        <f>精算表!S142</f>
        <v>0</v>
      </c>
      <c r="D18" s="218">
        <f>C18</f>
        <v>0</v>
      </c>
      <c r="E18" s="227"/>
      <c r="F18" s="221"/>
    </row>
    <row r="19" spans="2:6" ht="17.45" customHeight="1" x14ac:dyDescent="0.4">
      <c r="B19" s="214" t="s">
        <v>479</v>
      </c>
      <c r="C19" s="218">
        <f>精算表!S143</f>
        <v>0</v>
      </c>
      <c r="D19" s="218">
        <f>C19</f>
        <v>0</v>
      </c>
      <c r="E19" s="227"/>
      <c r="F19" s="221"/>
    </row>
    <row r="20" spans="2:6" ht="17.45" customHeight="1" x14ac:dyDescent="0.4">
      <c r="B20" s="214" t="s">
        <v>480</v>
      </c>
      <c r="C20" s="218">
        <f>SUM(D20:E20)</f>
        <v>102536191</v>
      </c>
      <c r="D20" s="218">
        <f>NW内訳!D40</f>
        <v>102536191</v>
      </c>
      <c r="E20" s="218">
        <f>NW内訳!E40</f>
        <v>0</v>
      </c>
      <c r="F20" s="221"/>
    </row>
    <row r="21" spans="2:6" ht="17.45" customHeight="1" x14ac:dyDescent="0.4">
      <c r="B21" s="219" t="s">
        <v>334</v>
      </c>
      <c r="C21" s="220">
        <f>C12+SUM(C18:C20)</f>
        <v>295125736</v>
      </c>
      <c r="D21" s="220">
        <f>D13+SUM(D18:D20)</f>
        <v>56264508</v>
      </c>
      <c r="E21" s="220">
        <f>E12+E13+E20</f>
        <v>238861228</v>
      </c>
      <c r="F21" s="225"/>
    </row>
    <row r="22" spans="2:6" ht="17.45" customHeight="1" x14ac:dyDescent="0.4">
      <c r="B22" s="219" t="s">
        <v>564</v>
      </c>
      <c r="C22" s="220">
        <f>C7+C21</f>
        <v>9263455115</v>
      </c>
      <c r="D22" s="220">
        <f>D7+D21</f>
        <v>14232095654</v>
      </c>
      <c r="E22" s="220">
        <f>E7+E21</f>
        <v>-4968640539</v>
      </c>
      <c r="F22" s="225"/>
    </row>
    <row r="23" spans="2:6" ht="17.45" customHeight="1" x14ac:dyDescent="0.4">
      <c r="B23" s="223"/>
      <c r="C23" s="223"/>
      <c r="D23" s="223"/>
      <c r="E23" s="223"/>
      <c r="F23" s="223"/>
    </row>
  </sheetData>
  <mergeCells count="3">
    <mergeCell ref="B2:F2"/>
    <mergeCell ref="B3:F3"/>
    <mergeCell ref="B4:F4"/>
  </mergeCells>
  <phoneticPr fontId="1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B98-B7E4-4440-9096-AC15FCB9F29C}">
  <sheetPr>
    <tabColor theme="7"/>
    <pageSetUpPr fitToPage="1"/>
  </sheetPr>
  <dimension ref="A1:G58"/>
  <sheetViews>
    <sheetView workbookViewId="0">
      <selection activeCell="G53" sqref="G53"/>
    </sheetView>
  </sheetViews>
  <sheetFormatPr defaultColWidth="8.625" defaultRowHeight="17.45" customHeight="1" x14ac:dyDescent="0.4"/>
  <cols>
    <col min="1" max="1" width="2.125" style="213" customWidth="1"/>
    <col min="2" max="4" width="15.625" style="213" customWidth="1"/>
    <col min="5" max="5" width="25.625" style="213" customWidth="1"/>
    <col min="6" max="6" width="10.5" style="213" bestFit="1" customWidth="1"/>
    <col min="7" max="7" width="11.625" style="213" bestFit="1" customWidth="1"/>
    <col min="8" max="16384" width="8.625" style="213"/>
  </cols>
  <sheetData>
    <row r="1" spans="1:5" ht="17.45" customHeight="1" x14ac:dyDescent="0.4">
      <c r="A1" s="281" t="str">
        <f>チェックシート!$C$2</f>
        <v>白子町</v>
      </c>
      <c r="B1" s="211"/>
      <c r="E1" s="205" t="s">
        <v>606</v>
      </c>
    </row>
    <row r="2" spans="1:5" ht="17.45" customHeight="1" x14ac:dyDescent="0.4">
      <c r="B2" s="390" t="s">
        <v>565</v>
      </c>
      <c r="C2" s="390"/>
      <c r="D2" s="390"/>
      <c r="E2" s="390"/>
    </row>
    <row r="3" spans="1:5" ht="17.45" customHeight="1" x14ac:dyDescent="0.4">
      <c r="B3" s="391" t="str">
        <f>"自　令和"&amp;チェックシート!C3&amp;"年 4月 1日"</f>
        <v>自　令和5年 4月 1日</v>
      </c>
      <c r="C3" s="391"/>
      <c r="D3" s="391"/>
      <c r="E3" s="391"/>
    </row>
    <row r="4" spans="1:5" ht="17.45" customHeight="1" x14ac:dyDescent="0.4">
      <c r="B4" s="391" t="str">
        <f>"至　令和"&amp;チェックシート!C3+1&amp;"年 3月31日"</f>
        <v>至　令和6年 3月31日</v>
      </c>
      <c r="C4" s="391"/>
      <c r="D4" s="391"/>
      <c r="E4" s="391"/>
    </row>
    <row r="5" spans="1:5" ht="17.45" customHeight="1" x14ac:dyDescent="0.4">
      <c r="B5" s="208"/>
      <c r="E5" s="205" t="s">
        <v>548</v>
      </c>
    </row>
    <row r="6" spans="1:5" ht="24.95" customHeight="1" x14ac:dyDescent="0.4">
      <c r="B6" s="395" t="s">
        <v>117</v>
      </c>
      <c r="C6" s="396"/>
      <c r="D6" s="397"/>
      <c r="E6" s="42" t="s">
        <v>118</v>
      </c>
    </row>
    <row r="7" spans="1:5" ht="17.45" customHeight="1" x14ac:dyDescent="0.4">
      <c r="B7" s="302" t="s">
        <v>483</v>
      </c>
      <c r="C7" s="303"/>
      <c r="D7" s="304"/>
      <c r="E7" s="309"/>
    </row>
    <row r="8" spans="1:5" ht="17.45" customHeight="1" x14ac:dyDescent="0.4">
      <c r="B8" s="300" t="s">
        <v>566</v>
      </c>
      <c r="C8" s="21"/>
      <c r="D8" s="301"/>
      <c r="E8" s="221">
        <f>E9+E14</f>
        <v>4230919286</v>
      </c>
    </row>
    <row r="9" spans="1:5" ht="17.45" customHeight="1" x14ac:dyDescent="0.4">
      <c r="B9" s="300" t="s">
        <v>485</v>
      </c>
      <c r="C9" s="21"/>
      <c r="D9" s="301"/>
      <c r="E9" s="221">
        <f>SUM(E10:E13)</f>
        <v>2071725836</v>
      </c>
    </row>
    <row r="10" spans="1:5" ht="17.45" customHeight="1" x14ac:dyDescent="0.4">
      <c r="B10" s="300" t="s">
        <v>486</v>
      </c>
      <c r="C10" s="21"/>
      <c r="D10" s="301"/>
      <c r="E10" s="221">
        <f>精算表!S154</f>
        <v>1123561585</v>
      </c>
    </row>
    <row r="11" spans="1:5" ht="17.45" customHeight="1" x14ac:dyDescent="0.4">
      <c r="B11" s="300" t="s">
        <v>487</v>
      </c>
      <c r="C11" s="21"/>
      <c r="D11" s="301"/>
      <c r="E11" s="221">
        <f>精算表!S155</f>
        <v>885954537</v>
      </c>
    </row>
    <row r="12" spans="1:5" ht="17.45" customHeight="1" x14ac:dyDescent="0.4">
      <c r="B12" s="300" t="s">
        <v>488</v>
      </c>
      <c r="C12" s="21"/>
      <c r="D12" s="301"/>
      <c r="E12" s="221">
        <f>精算表!S156</f>
        <v>13930964</v>
      </c>
    </row>
    <row r="13" spans="1:5" ht="17.45" customHeight="1" x14ac:dyDescent="0.4">
      <c r="B13" s="300" t="s">
        <v>489</v>
      </c>
      <c r="C13" s="21"/>
      <c r="D13" s="301"/>
      <c r="E13" s="221">
        <f>精算表!S157</f>
        <v>48278750</v>
      </c>
    </row>
    <row r="14" spans="1:5" ht="17.45" customHeight="1" x14ac:dyDescent="0.4">
      <c r="B14" s="300" t="s">
        <v>490</v>
      </c>
      <c r="C14" s="21"/>
      <c r="D14" s="301"/>
      <c r="E14" s="221">
        <f>SUM(E15:E18)</f>
        <v>2159193450</v>
      </c>
    </row>
    <row r="15" spans="1:5" ht="17.45" customHeight="1" x14ac:dyDescent="0.4">
      <c r="B15" s="300" t="s">
        <v>491</v>
      </c>
      <c r="C15" s="21"/>
      <c r="D15" s="301"/>
      <c r="E15" s="221">
        <f>精算表!S159</f>
        <v>1224815066</v>
      </c>
    </row>
    <row r="16" spans="1:5" ht="17.45" customHeight="1" x14ac:dyDescent="0.4">
      <c r="B16" s="300" t="s">
        <v>492</v>
      </c>
      <c r="C16" s="21"/>
      <c r="D16" s="301"/>
      <c r="E16" s="221">
        <f>精算表!S160</f>
        <v>460155840</v>
      </c>
    </row>
    <row r="17" spans="2:5" ht="17.45" customHeight="1" x14ac:dyDescent="0.4">
      <c r="B17" s="300" t="s">
        <v>493</v>
      </c>
      <c r="C17" s="21"/>
      <c r="D17" s="301"/>
      <c r="E17" s="221">
        <f>精算表!S161</f>
        <v>473845014</v>
      </c>
    </row>
    <row r="18" spans="2:5" ht="17.45" customHeight="1" x14ac:dyDescent="0.4">
      <c r="B18" s="300" t="s">
        <v>489</v>
      </c>
      <c r="C18" s="21"/>
      <c r="D18" s="301"/>
      <c r="E18" s="221">
        <f>精算表!S162</f>
        <v>377530</v>
      </c>
    </row>
    <row r="19" spans="2:5" ht="17.45" customHeight="1" x14ac:dyDescent="0.4">
      <c r="B19" s="300" t="s">
        <v>567</v>
      </c>
      <c r="C19" s="21"/>
      <c r="D19" s="301"/>
      <c r="E19" s="221">
        <f>SUM(E20:E23)</f>
        <v>4851981450</v>
      </c>
    </row>
    <row r="20" spans="2:5" ht="17.45" customHeight="1" x14ac:dyDescent="0.4">
      <c r="B20" s="300" t="s">
        <v>495</v>
      </c>
      <c r="C20" s="21"/>
      <c r="D20" s="301"/>
      <c r="E20" s="221">
        <f>精算表!R164</f>
        <v>3840421429</v>
      </c>
    </row>
    <row r="21" spans="2:5" ht="17.45" customHeight="1" x14ac:dyDescent="0.4">
      <c r="B21" s="300" t="s">
        <v>496</v>
      </c>
      <c r="C21" s="21"/>
      <c r="D21" s="301"/>
      <c r="E21" s="221">
        <f>精算表!R165</f>
        <v>871265928</v>
      </c>
    </row>
    <row r="22" spans="2:5" ht="17.45" customHeight="1" x14ac:dyDescent="0.4">
      <c r="B22" s="300" t="s">
        <v>497</v>
      </c>
      <c r="C22" s="21"/>
      <c r="D22" s="301"/>
      <c r="E22" s="221">
        <f>精算表!R166</f>
        <v>50410248</v>
      </c>
    </row>
    <row r="23" spans="2:5" ht="17.45" customHeight="1" x14ac:dyDescent="0.4">
      <c r="B23" s="300" t="s">
        <v>498</v>
      </c>
      <c r="C23" s="21"/>
      <c r="D23" s="301"/>
      <c r="E23" s="221">
        <f>精算表!R167</f>
        <v>89883845</v>
      </c>
    </row>
    <row r="24" spans="2:5" ht="17.45" customHeight="1" x14ac:dyDescent="0.4">
      <c r="B24" s="300" t="s">
        <v>568</v>
      </c>
      <c r="C24" s="21"/>
      <c r="D24" s="301"/>
      <c r="E24" s="221">
        <f>SUM(E25:E26)</f>
        <v>0</v>
      </c>
    </row>
    <row r="25" spans="2:5" ht="17.45" customHeight="1" x14ac:dyDescent="0.4">
      <c r="B25" s="300" t="s">
        <v>500</v>
      </c>
      <c r="C25" s="21"/>
      <c r="D25" s="301"/>
      <c r="E25" s="221">
        <f>精算表!S169</f>
        <v>0</v>
      </c>
    </row>
    <row r="26" spans="2:5" ht="17.45" customHeight="1" x14ac:dyDescent="0.4">
      <c r="B26" s="300" t="s">
        <v>501</v>
      </c>
      <c r="C26" s="21"/>
      <c r="D26" s="301"/>
      <c r="E26" s="221">
        <f>精算表!S170</f>
        <v>0</v>
      </c>
    </row>
    <row r="27" spans="2:5" ht="17.45" customHeight="1" x14ac:dyDescent="0.4">
      <c r="B27" s="305" t="s">
        <v>503</v>
      </c>
      <c r="C27" s="41"/>
      <c r="D27" s="306"/>
      <c r="E27" s="232">
        <f>精算表!R171</f>
        <v>0</v>
      </c>
    </row>
    <row r="28" spans="2:5" ht="17.45" customHeight="1" x14ac:dyDescent="0.4">
      <c r="B28" s="251" t="s">
        <v>504</v>
      </c>
      <c r="C28" s="307"/>
      <c r="D28" s="308"/>
      <c r="E28" s="225">
        <f>E19+E27-E8-E24</f>
        <v>621062164</v>
      </c>
    </row>
    <row r="29" spans="2:5" ht="17.45" customHeight="1" x14ac:dyDescent="0.4">
      <c r="B29" s="302" t="s">
        <v>505</v>
      </c>
      <c r="C29" s="303"/>
      <c r="D29" s="304"/>
      <c r="E29" s="231"/>
    </row>
    <row r="30" spans="2:5" ht="17.45" customHeight="1" x14ac:dyDescent="0.4">
      <c r="B30" s="300" t="s">
        <v>569</v>
      </c>
      <c r="C30" s="21"/>
      <c r="D30" s="301"/>
      <c r="E30" s="221">
        <f>SUM(E31:E35)</f>
        <v>590958009</v>
      </c>
    </row>
    <row r="31" spans="2:5" ht="17.45" customHeight="1" x14ac:dyDescent="0.4">
      <c r="B31" s="300" t="s">
        <v>507</v>
      </c>
      <c r="C31" s="21"/>
      <c r="D31" s="301"/>
      <c r="E31" s="221">
        <f>精算表!S175</f>
        <v>283676346</v>
      </c>
    </row>
    <row r="32" spans="2:5" ht="17.45" customHeight="1" x14ac:dyDescent="0.4">
      <c r="B32" s="300" t="s">
        <v>508</v>
      </c>
      <c r="C32" s="21"/>
      <c r="D32" s="301"/>
      <c r="E32" s="221">
        <f>精算表!S176</f>
        <v>307281663</v>
      </c>
    </row>
    <row r="33" spans="2:5" ht="17.45" customHeight="1" x14ac:dyDescent="0.4">
      <c r="B33" s="300" t="s">
        <v>509</v>
      </c>
      <c r="C33" s="21"/>
      <c r="D33" s="301"/>
      <c r="E33" s="221">
        <f>精算表!S177</f>
        <v>0</v>
      </c>
    </row>
    <row r="34" spans="2:5" ht="17.45" customHeight="1" x14ac:dyDescent="0.4">
      <c r="B34" s="300" t="s">
        <v>510</v>
      </c>
      <c r="C34" s="21"/>
      <c r="D34" s="301"/>
      <c r="E34" s="221">
        <f>精算表!S178</f>
        <v>0</v>
      </c>
    </row>
    <row r="35" spans="2:5" ht="17.45" customHeight="1" x14ac:dyDescent="0.4">
      <c r="B35" s="300" t="s">
        <v>501</v>
      </c>
      <c r="C35" s="21"/>
      <c r="D35" s="301"/>
      <c r="E35" s="221">
        <f>精算表!S179</f>
        <v>0</v>
      </c>
    </row>
    <row r="36" spans="2:5" ht="17.45" customHeight="1" x14ac:dyDescent="0.4">
      <c r="B36" s="300" t="s">
        <v>570</v>
      </c>
      <c r="C36" s="21"/>
      <c r="D36" s="301"/>
      <c r="E36" s="221">
        <f>SUM(E37:E41)</f>
        <v>164132799</v>
      </c>
    </row>
    <row r="37" spans="2:5" ht="17.45" customHeight="1" x14ac:dyDescent="0.4">
      <c r="B37" s="300" t="s">
        <v>496</v>
      </c>
      <c r="C37" s="21"/>
      <c r="D37" s="301"/>
      <c r="E37" s="221">
        <f>精算表!R181</f>
        <v>31612019</v>
      </c>
    </row>
    <row r="38" spans="2:5" ht="17.45" customHeight="1" x14ac:dyDescent="0.4">
      <c r="B38" s="300" t="s">
        <v>512</v>
      </c>
      <c r="C38" s="21"/>
      <c r="D38" s="301"/>
      <c r="E38" s="221">
        <f>精算表!R182</f>
        <v>131390916</v>
      </c>
    </row>
    <row r="39" spans="2:5" ht="17.45" customHeight="1" x14ac:dyDescent="0.4">
      <c r="B39" s="300" t="s">
        <v>513</v>
      </c>
      <c r="C39" s="21"/>
      <c r="D39" s="301"/>
      <c r="E39" s="221">
        <f>精算表!R183</f>
        <v>0</v>
      </c>
    </row>
    <row r="40" spans="2:5" ht="17.45" customHeight="1" x14ac:dyDescent="0.4">
      <c r="B40" s="300" t="s">
        <v>514</v>
      </c>
      <c r="C40" s="21"/>
      <c r="D40" s="301"/>
      <c r="E40" s="221">
        <f>精算表!R184</f>
        <v>1129864</v>
      </c>
    </row>
    <row r="41" spans="2:5" ht="17.45" customHeight="1" x14ac:dyDescent="0.4">
      <c r="B41" s="305" t="s">
        <v>498</v>
      </c>
      <c r="C41" s="41"/>
      <c r="D41" s="306"/>
      <c r="E41" s="221">
        <f>精算表!R185</f>
        <v>0</v>
      </c>
    </row>
    <row r="42" spans="2:5" ht="17.45" customHeight="1" x14ac:dyDescent="0.4">
      <c r="B42" s="251" t="s">
        <v>515</v>
      </c>
      <c r="C42" s="307"/>
      <c r="D42" s="308"/>
      <c r="E42" s="225">
        <f>E36-E30</f>
        <v>-426825210</v>
      </c>
    </row>
    <row r="43" spans="2:5" ht="17.45" customHeight="1" x14ac:dyDescent="0.4">
      <c r="B43" s="302" t="s">
        <v>516</v>
      </c>
      <c r="C43" s="303"/>
      <c r="D43" s="304"/>
      <c r="E43" s="231"/>
    </row>
    <row r="44" spans="2:5" ht="17.45" customHeight="1" x14ac:dyDescent="0.4">
      <c r="B44" s="300" t="s">
        <v>571</v>
      </c>
      <c r="C44" s="21"/>
      <c r="D44" s="301"/>
      <c r="E44" s="221">
        <f>SUM(E45:E46)</f>
        <v>375852129</v>
      </c>
    </row>
    <row r="45" spans="2:5" ht="17.45" customHeight="1" x14ac:dyDescent="0.4">
      <c r="B45" s="300" t="s">
        <v>518</v>
      </c>
      <c r="C45" s="21"/>
      <c r="D45" s="301"/>
      <c r="E45" s="221">
        <f>精算表!S189</f>
        <v>375852129</v>
      </c>
    </row>
    <row r="46" spans="2:5" ht="17.45" customHeight="1" x14ac:dyDescent="0.4">
      <c r="B46" s="300" t="s">
        <v>501</v>
      </c>
      <c r="C46" s="21"/>
      <c r="D46" s="301"/>
      <c r="E46" s="221">
        <f>精算表!S190</f>
        <v>0</v>
      </c>
    </row>
    <row r="47" spans="2:5" ht="17.45" customHeight="1" x14ac:dyDescent="0.4">
      <c r="B47" s="300" t="s">
        <v>572</v>
      </c>
      <c r="C47" s="21"/>
      <c r="D47" s="301"/>
      <c r="E47" s="221">
        <f>SUM(E48:E49)</f>
        <v>114688000</v>
      </c>
    </row>
    <row r="48" spans="2:5" ht="17.45" customHeight="1" x14ac:dyDescent="0.4">
      <c r="B48" s="300" t="s">
        <v>520</v>
      </c>
      <c r="C48" s="21"/>
      <c r="D48" s="301"/>
      <c r="E48" s="221">
        <f>精算表!R192</f>
        <v>114688000</v>
      </c>
    </row>
    <row r="49" spans="2:7" ht="17.45" customHeight="1" x14ac:dyDescent="0.4">
      <c r="B49" s="305" t="s">
        <v>498</v>
      </c>
      <c r="C49" s="41"/>
      <c r="D49" s="306"/>
      <c r="E49" s="221">
        <f>精算表!R193</f>
        <v>0</v>
      </c>
    </row>
    <row r="50" spans="2:7" ht="17.45" customHeight="1" x14ac:dyDescent="0.4">
      <c r="B50" s="251" t="s">
        <v>521</v>
      </c>
      <c r="C50" s="307"/>
      <c r="D50" s="308"/>
      <c r="E50" s="225">
        <f>E47-E44</f>
        <v>-261164129</v>
      </c>
    </row>
    <row r="51" spans="2:7" ht="17.45" customHeight="1" x14ac:dyDescent="0.4">
      <c r="B51" s="251" t="s">
        <v>522</v>
      </c>
      <c r="C51" s="307"/>
      <c r="D51" s="308"/>
      <c r="E51" s="225">
        <f>E28+E42+E50</f>
        <v>-66927175</v>
      </c>
    </row>
    <row r="52" spans="2:7" ht="17.45" customHeight="1" x14ac:dyDescent="0.4">
      <c r="B52" s="251" t="s">
        <v>573</v>
      </c>
      <c r="C52" s="307"/>
      <c r="D52" s="308"/>
      <c r="E52" s="225">
        <f>精算表!R196</f>
        <v>331505838</v>
      </c>
      <c r="G52" s="224"/>
    </row>
    <row r="53" spans="2:7" ht="17.45" customHeight="1" x14ac:dyDescent="0.4">
      <c r="B53" s="251" t="s">
        <v>574</v>
      </c>
      <c r="C53" s="307"/>
      <c r="D53" s="308"/>
      <c r="E53" s="225">
        <f>SUM(E51:E52)</f>
        <v>264578663</v>
      </c>
      <c r="G53" s="224"/>
    </row>
    <row r="54" spans="2:7" ht="17.45" customHeight="1" x14ac:dyDescent="0.4">
      <c r="E54" s="224"/>
    </row>
    <row r="55" spans="2:7" ht="17.45" customHeight="1" x14ac:dyDescent="0.4">
      <c r="B55" s="251" t="s">
        <v>575</v>
      </c>
      <c r="C55" s="307"/>
      <c r="D55" s="308"/>
      <c r="E55" s="225">
        <f>精算表!R198</f>
        <v>0</v>
      </c>
      <c r="G55" s="224"/>
    </row>
    <row r="56" spans="2:7" ht="17.45" customHeight="1" x14ac:dyDescent="0.4">
      <c r="B56" s="251" t="s">
        <v>576</v>
      </c>
      <c r="C56" s="307"/>
      <c r="D56" s="308"/>
      <c r="E56" s="225">
        <f>精算表!R199</f>
        <v>52058814</v>
      </c>
    </row>
    <row r="57" spans="2:7" ht="17.45" customHeight="1" x14ac:dyDescent="0.4">
      <c r="B57" s="251" t="s">
        <v>577</v>
      </c>
      <c r="C57" s="307"/>
      <c r="D57" s="308"/>
      <c r="E57" s="225">
        <f>E55+E56</f>
        <v>52058814</v>
      </c>
    </row>
    <row r="58" spans="2:7" ht="17.45" customHeight="1" x14ac:dyDescent="0.4">
      <c r="B58" s="251" t="s">
        <v>578</v>
      </c>
      <c r="C58" s="307"/>
      <c r="D58" s="308"/>
      <c r="E58" s="225">
        <f>E53+E57</f>
        <v>316637477</v>
      </c>
    </row>
  </sheetData>
  <mergeCells count="4">
    <mergeCell ref="B6:D6"/>
    <mergeCell ref="B2:E2"/>
    <mergeCell ref="B3:E3"/>
    <mergeCell ref="B4:E4"/>
  </mergeCells>
  <phoneticPr fontId="1"/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AF7D-3049-4FD1-A48C-21BE2EAFF5AA}">
  <sheetPr>
    <pageSetUpPr fitToPage="1"/>
  </sheetPr>
  <dimension ref="A1:I118"/>
  <sheetViews>
    <sheetView zoomScale="70" zoomScaleNormal="70" workbookViewId="0">
      <selection activeCell="H29" sqref="H29"/>
    </sheetView>
  </sheetViews>
  <sheetFormatPr defaultRowHeight="13.5" x14ac:dyDescent="0.4"/>
  <cols>
    <col min="1" max="1" width="35.625" style="1" customWidth="1"/>
    <col min="2" max="2" width="45.625" style="2" customWidth="1"/>
    <col min="3" max="4" width="15.625" style="2" customWidth="1"/>
    <col min="5" max="5" width="10.625" style="2" customWidth="1"/>
    <col min="6" max="6" width="20.625" style="2" customWidth="1"/>
    <col min="7" max="7" width="25.625" style="2" customWidth="1"/>
    <col min="8" max="9" width="15.625" style="2" customWidth="1"/>
    <col min="10" max="243" width="8.625" style="2"/>
    <col min="244" max="244" width="31.375" style="2" bestFit="1" customWidth="1"/>
    <col min="245" max="499" width="8.625" style="2"/>
    <col min="500" max="500" width="31.375" style="2" bestFit="1" customWidth="1"/>
    <col min="501" max="755" width="8.625" style="2"/>
    <col min="756" max="756" width="31.375" style="2" bestFit="1" customWidth="1"/>
    <col min="757" max="1011" width="8.625" style="2"/>
    <col min="1012" max="1012" width="31.375" style="2" bestFit="1" customWidth="1"/>
    <col min="1013" max="1267" width="8.625" style="2"/>
    <col min="1268" max="1268" width="31.375" style="2" bestFit="1" customWidth="1"/>
    <col min="1269" max="1523" width="8.625" style="2"/>
    <col min="1524" max="1524" width="31.375" style="2" bestFit="1" customWidth="1"/>
    <col min="1525" max="1779" width="8.625" style="2"/>
    <col min="1780" max="1780" width="31.375" style="2" bestFit="1" customWidth="1"/>
    <col min="1781" max="2035" width="8.625" style="2"/>
    <col min="2036" max="2036" width="31.375" style="2" bestFit="1" customWidth="1"/>
    <col min="2037" max="2291" width="8.625" style="2"/>
    <col min="2292" max="2292" width="31.375" style="2" bestFit="1" customWidth="1"/>
    <col min="2293" max="2547" width="8.625" style="2"/>
    <col min="2548" max="2548" width="31.375" style="2" bestFit="1" customWidth="1"/>
    <col min="2549" max="2803" width="8.625" style="2"/>
    <col min="2804" max="2804" width="31.375" style="2" bestFit="1" customWidth="1"/>
    <col min="2805" max="3059" width="8.625" style="2"/>
    <col min="3060" max="3060" width="31.375" style="2" bestFit="1" customWidth="1"/>
    <col min="3061" max="3315" width="8.625" style="2"/>
    <col min="3316" max="3316" width="31.375" style="2" bestFit="1" customWidth="1"/>
    <col min="3317" max="3571" width="8.625" style="2"/>
    <col min="3572" max="3572" width="31.375" style="2" bestFit="1" customWidth="1"/>
    <col min="3573" max="3827" width="8.625" style="2"/>
    <col min="3828" max="3828" width="31.375" style="2" bestFit="1" customWidth="1"/>
    <col min="3829" max="4083" width="8.625" style="2"/>
    <col min="4084" max="4084" width="31.375" style="2" bestFit="1" customWidth="1"/>
    <col min="4085" max="4339" width="8.625" style="2"/>
    <col min="4340" max="4340" width="31.375" style="2" bestFit="1" customWidth="1"/>
    <col min="4341" max="4595" width="8.625" style="2"/>
    <col min="4596" max="4596" width="31.375" style="2" bestFit="1" customWidth="1"/>
    <col min="4597" max="4851" width="8.625" style="2"/>
    <col min="4852" max="4852" width="31.375" style="2" bestFit="1" customWidth="1"/>
    <col min="4853" max="5107" width="8.625" style="2"/>
    <col min="5108" max="5108" width="31.375" style="2" bestFit="1" customWidth="1"/>
    <col min="5109" max="5363" width="8.625" style="2"/>
    <col min="5364" max="5364" width="31.375" style="2" bestFit="1" customWidth="1"/>
    <col min="5365" max="5619" width="8.625" style="2"/>
    <col min="5620" max="5620" width="31.375" style="2" bestFit="1" customWidth="1"/>
    <col min="5621" max="5875" width="8.625" style="2"/>
    <col min="5876" max="5876" width="31.375" style="2" bestFit="1" customWidth="1"/>
    <col min="5877" max="6131" width="8.625" style="2"/>
    <col min="6132" max="6132" width="31.375" style="2" bestFit="1" customWidth="1"/>
    <col min="6133" max="6387" width="8.625" style="2"/>
    <col min="6388" max="6388" width="31.375" style="2" bestFit="1" customWidth="1"/>
    <col min="6389" max="6643" width="8.625" style="2"/>
    <col min="6644" max="6644" width="31.375" style="2" bestFit="1" customWidth="1"/>
    <col min="6645" max="6899" width="8.625" style="2"/>
    <col min="6900" max="6900" width="31.375" style="2" bestFit="1" customWidth="1"/>
    <col min="6901" max="7155" width="8.625" style="2"/>
    <col min="7156" max="7156" width="31.375" style="2" bestFit="1" customWidth="1"/>
    <col min="7157" max="7411" width="8.625" style="2"/>
    <col min="7412" max="7412" width="31.375" style="2" bestFit="1" customWidth="1"/>
    <col min="7413" max="7667" width="8.625" style="2"/>
    <col min="7668" max="7668" width="31.375" style="2" bestFit="1" customWidth="1"/>
    <col min="7669" max="7923" width="8.625" style="2"/>
    <col min="7924" max="7924" width="31.375" style="2" bestFit="1" customWidth="1"/>
    <col min="7925" max="8179" width="8.625" style="2"/>
    <col min="8180" max="8180" width="31.375" style="2" bestFit="1" customWidth="1"/>
    <col min="8181" max="8435" width="8.625" style="2"/>
    <col min="8436" max="8436" width="31.375" style="2" bestFit="1" customWidth="1"/>
    <col min="8437" max="8691" width="8.625" style="2"/>
    <col min="8692" max="8692" width="31.375" style="2" bestFit="1" customWidth="1"/>
    <col min="8693" max="8947" width="8.625" style="2"/>
    <col min="8948" max="8948" width="31.375" style="2" bestFit="1" customWidth="1"/>
    <col min="8949" max="9203" width="8.625" style="2"/>
    <col min="9204" max="9204" width="31.375" style="2" bestFit="1" customWidth="1"/>
    <col min="9205" max="9459" width="8.625" style="2"/>
    <col min="9460" max="9460" width="31.375" style="2" bestFit="1" customWidth="1"/>
    <col min="9461" max="9715" width="8.625" style="2"/>
    <col min="9716" max="9716" width="31.375" style="2" bestFit="1" customWidth="1"/>
    <col min="9717" max="9971" width="8.625" style="2"/>
    <col min="9972" max="9972" width="31.375" style="2" bestFit="1" customWidth="1"/>
    <col min="9973" max="10227" width="8.625" style="2"/>
    <col min="10228" max="10228" width="31.375" style="2" bestFit="1" customWidth="1"/>
    <col min="10229" max="10483" width="8.625" style="2"/>
    <col min="10484" max="10484" width="31.375" style="2" bestFit="1" customWidth="1"/>
    <col min="10485" max="10739" width="8.625" style="2"/>
    <col min="10740" max="10740" width="31.375" style="2" bestFit="1" customWidth="1"/>
    <col min="10741" max="10995" width="8.625" style="2"/>
    <col min="10996" max="10996" width="31.375" style="2" bestFit="1" customWidth="1"/>
    <col min="10997" max="11251" width="8.625" style="2"/>
    <col min="11252" max="11252" width="31.375" style="2" bestFit="1" customWidth="1"/>
    <col min="11253" max="11507" width="8.625" style="2"/>
    <col min="11508" max="11508" width="31.375" style="2" bestFit="1" customWidth="1"/>
    <col min="11509" max="11763" width="8.625" style="2"/>
    <col min="11764" max="11764" width="31.375" style="2" bestFit="1" customWidth="1"/>
    <col min="11765" max="12019" width="8.625" style="2"/>
    <col min="12020" max="12020" width="31.375" style="2" bestFit="1" customWidth="1"/>
    <col min="12021" max="12275" width="8.625" style="2"/>
    <col min="12276" max="12276" width="31.375" style="2" bestFit="1" customWidth="1"/>
    <col min="12277" max="12531" width="8.625" style="2"/>
    <col min="12532" max="12532" width="31.375" style="2" bestFit="1" customWidth="1"/>
    <col min="12533" max="12787" width="8.625" style="2"/>
    <col min="12788" max="12788" width="31.375" style="2" bestFit="1" customWidth="1"/>
    <col min="12789" max="13043" width="8.625" style="2"/>
    <col min="13044" max="13044" width="31.375" style="2" bestFit="1" customWidth="1"/>
    <col min="13045" max="13299" width="8.625" style="2"/>
    <col min="13300" max="13300" width="31.375" style="2" bestFit="1" customWidth="1"/>
    <col min="13301" max="13555" width="8.625" style="2"/>
    <col min="13556" max="13556" width="31.375" style="2" bestFit="1" customWidth="1"/>
    <col min="13557" max="13811" width="8.625" style="2"/>
    <col min="13812" max="13812" width="31.375" style="2" bestFit="1" customWidth="1"/>
    <col min="13813" max="14067" width="8.625" style="2"/>
    <col min="14068" max="14068" width="31.375" style="2" bestFit="1" customWidth="1"/>
    <col min="14069" max="14323" width="8.625" style="2"/>
    <col min="14324" max="14324" width="31.375" style="2" bestFit="1" customWidth="1"/>
    <col min="14325" max="14579" width="8.625" style="2"/>
    <col min="14580" max="14580" width="31.375" style="2" bestFit="1" customWidth="1"/>
    <col min="14581" max="14835" width="8.625" style="2"/>
    <col min="14836" max="14836" width="31.375" style="2" bestFit="1" customWidth="1"/>
    <col min="14837" max="15091" width="8.625" style="2"/>
    <col min="15092" max="15092" width="31.375" style="2" bestFit="1" customWidth="1"/>
    <col min="15093" max="15347" width="8.625" style="2"/>
    <col min="15348" max="15348" width="31.375" style="2" bestFit="1" customWidth="1"/>
    <col min="15349" max="15603" width="8.625" style="2"/>
    <col min="15604" max="15604" width="31.375" style="2" bestFit="1" customWidth="1"/>
    <col min="15605" max="15859" width="8.625" style="2"/>
    <col min="15860" max="15860" width="31.375" style="2" bestFit="1" customWidth="1"/>
    <col min="15861" max="16115" width="8.625" style="2"/>
    <col min="16116" max="16116" width="31.375" style="2" bestFit="1" customWidth="1"/>
    <col min="16117" max="16384" width="8.625" style="2"/>
  </cols>
  <sheetData>
    <row r="1" spans="1:9" x14ac:dyDescent="0.4">
      <c r="A1" s="6" t="s">
        <v>316</v>
      </c>
      <c r="B1" s="9" t="s">
        <v>325</v>
      </c>
      <c r="C1" s="10" t="s">
        <v>283</v>
      </c>
      <c r="D1" s="11" t="s">
        <v>284</v>
      </c>
      <c r="E1" s="9" t="s">
        <v>326</v>
      </c>
      <c r="F1" s="10"/>
      <c r="G1" s="10"/>
      <c r="H1" s="10" t="s">
        <v>283</v>
      </c>
      <c r="I1" s="11" t="s">
        <v>284</v>
      </c>
    </row>
    <row r="2" spans="1:9" x14ac:dyDescent="0.4">
      <c r="A2" s="7" t="s">
        <v>0</v>
      </c>
      <c r="B2" s="12" t="s">
        <v>279</v>
      </c>
      <c r="C2" s="2" t="s">
        <v>93</v>
      </c>
      <c r="D2" s="13" t="s">
        <v>81</v>
      </c>
      <c r="E2" s="12">
        <v>1</v>
      </c>
      <c r="F2" s="2" t="s">
        <v>238</v>
      </c>
      <c r="H2" s="2" t="s">
        <v>60</v>
      </c>
      <c r="I2" s="13" t="s">
        <v>85</v>
      </c>
    </row>
    <row r="3" spans="1:9" x14ac:dyDescent="0.4">
      <c r="A3" s="7" t="s">
        <v>1</v>
      </c>
      <c r="B3" s="12" t="s">
        <v>280</v>
      </c>
      <c r="C3" s="2" t="s">
        <v>93</v>
      </c>
      <c r="D3" s="13" t="s">
        <v>81</v>
      </c>
      <c r="E3" s="12">
        <v>2</v>
      </c>
      <c r="F3" s="2" t="s">
        <v>239</v>
      </c>
      <c r="H3" s="2" t="s">
        <v>57</v>
      </c>
      <c r="I3" s="13" t="s">
        <v>85</v>
      </c>
    </row>
    <row r="4" spans="1:9" x14ac:dyDescent="0.4">
      <c r="A4" s="7" t="s">
        <v>2</v>
      </c>
      <c r="B4" s="12" t="s">
        <v>281</v>
      </c>
      <c r="C4" s="2" t="s">
        <v>93</v>
      </c>
      <c r="D4" s="13" t="s">
        <v>81</v>
      </c>
      <c r="E4" s="12">
        <v>3</v>
      </c>
      <c r="F4" s="2" t="s">
        <v>240</v>
      </c>
      <c r="H4" s="2" t="s">
        <v>57</v>
      </c>
      <c r="I4" s="13" t="s">
        <v>85</v>
      </c>
    </row>
    <row r="5" spans="1:9" x14ac:dyDescent="0.4">
      <c r="A5" s="7" t="s">
        <v>3</v>
      </c>
      <c r="B5" s="12" t="s">
        <v>282</v>
      </c>
      <c r="C5" s="2" t="s">
        <v>93</v>
      </c>
      <c r="D5" s="13" t="s">
        <v>81</v>
      </c>
      <c r="E5" s="12">
        <v>4</v>
      </c>
      <c r="F5" s="2" t="s">
        <v>241</v>
      </c>
      <c r="H5" s="2" t="s">
        <v>57</v>
      </c>
      <c r="I5" s="13" t="s">
        <v>85</v>
      </c>
    </row>
    <row r="6" spans="1:9" x14ac:dyDescent="0.4">
      <c r="A6" s="7" t="s">
        <v>4</v>
      </c>
      <c r="B6" s="12" t="s">
        <v>288</v>
      </c>
      <c r="C6" s="2" t="s">
        <v>93</v>
      </c>
      <c r="D6" s="13" t="s">
        <v>81</v>
      </c>
      <c r="E6" s="12">
        <v>5</v>
      </c>
      <c r="F6" s="2" t="s">
        <v>242</v>
      </c>
      <c r="H6" s="2" t="s">
        <v>57</v>
      </c>
      <c r="I6" s="13" t="s">
        <v>85</v>
      </c>
    </row>
    <row r="7" spans="1:9" x14ac:dyDescent="0.4">
      <c r="A7" s="7" t="s">
        <v>5</v>
      </c>
      <c r="B7" s="12" t="s">
        <v>289</v>
      </c>
      <c r="C7" s="2" t="s">
        <v>93</v>
      </c>
      <c r="D7" s="13" t="s">
        <v>81</v>
      </c>
      <c r="E7" s="12">
        <v>6</v>
      </c>
      <c r="F7" s="2" t="s">
        <v>243</v>
      </c>
      <c r="H7" s="2" t="s">
        <v>60</v>
      </c>
      <c r="I7" s="13" t="s">
        <v>85</v>
      </c>
    </row>
    <row r="8" spans="1:9" x14ac:dyDescent="0.4">
      <c r="A8" s="7" t="s">
        <v>6</v>
      </c>
      <c r="B8" s="12" t="s">
        <v>290</v>
      </c>
      <c r="C8" s="2" t="s">
        <v>93</v>
      </c>
      <c r="D8" s="13" t="s">
        <v>81</v>
      </c>
      <c r="E8" s="313" t="s">
        <v>612</v>
      </c>
      <c r="F8" s="2" t="s">
        <v>244</v>
      </c>
      <c r="G8" s="2" t="s">
        <v>245</v>
      </c>
      <c r="H8" s="2" t="s">
        <v>60</v>
      </c>
      <c r="I8" s="13" t="s">
        <v>85</v>
      </c>
    </row>
    <row r="9" spans="1:9" x14ac:dyDescent="0.4">
      <c r="A9" s="7" t="s">
        <v>7</v>
      </c>
      <c r="B9" s="12" t="s">
        <v>291</v>
      </c>
      <c r="C9" s="2" t="s">
        <v>93</v>
      </c>
      <c r="D9" s="13" t="s">
        <v>81</v>
      </c>
      <c r="E9" s="12"/>
      <c r="G9" s="2" t="s">
        <v>246</v>
      </c>
      <c r="H9" s="2" t="s">
        <v>61</v>
      </c>
      <c r="I9" s="13" t="s">
        <v>86</v>
      </c>
    </row>
    <row r="10" spans="1:9" x14ac:dyDescent="0.4">
      <c r="A10" s="7" t="s">
        <v>8</v>
      </c>
      <c r="B10" s="12" t="s">
        <v>292</v>
      </c>
      <c r="C10" s="2" t="s">
        <v>95</v>
      </c>
      <c r="D10" s="13" t="s">
        <v>72</v>
      </c>
      <c r="E10" s="12">
        <v>7</v>
      </c>
      <c r="F10" s="2" t="s">
        <v>247</v>
      </c>
      <c r="H10" s="2" t="s">
        <v>61</v>
      </c>
      <c r="I10" s="13" t="s">
        <v>86</v>
      </c>
    </row>
    <row r="11" spans="1:9" x14ac:dyDescent="0.4">
      <c r="A11" s="7" t="s">
        <v>9</v>
      </c>
      <c r="B11" s="12" t="s">
        <v>191</v>
      </c>
      <c r="C11" s="2" t="s">
        <v>94</v>
      </c>
      <c r="D11" s="13" t="s">
        <v>82</v>
      </c>
      <c r="E11" s="12">
        <v>8</v>
      </c>
      <c r="F11" s="2" t="s">
        <v>248</v>
      </c>
      <c r="H11" s="2" t="s">
        <v>61</v>
      </c>
      <c r="I11" s="13" t="s">
        <v>86</v>
      </c>
    </row>
    <row r="12" spans="1:9" x14ac:dyDescent="0.4">
      <c r="A12" s="7" t="s">
        <v>10</v>
      </c>
      <c r="B12" s="12" t="s">
        <v>192</v>
      </c>
      <c r="C12" s="2" t="s">
        <v>99</v>
      </c>
      <c r="D12" s="13" t="s">
        <v>82</v>
      </c>
      <c r="E12" s="12">
        <v>9</v>
      </c>
      <c r="F12" s="2" t="s">
        <v>249</v>
      </c>
      <c r="H12" s="2" t="s">
        <v>61</v>
      </c>
      <c r="I12" s="13" t="s">
        <v>86</v>
      </c>
    </row>
    <row r="13" spans="1:9" x14ac:dyDescent="0.4">
      <c r="A13" s="7" t="s">
        <v>11</v>
      </c>
      <c r="B13" s="12" t="s">
        <v>193</v>
      </c>
      <c r="C13" s="2" t="s">
        <v>105</v>
      </c>
      <c r="D13" s="13" t="s">
        <v>82</v>
      </c>
      <c r="E13" s="12">
        <v>10</v>
      </c>
      <c r="F13" s="2" t="s">
        <v>250</v>
      </c>
      <c r="G13" s="2" t="s">
        <v>582</v>
      </c>
      <c r="H13" s="2" t="s">
        <v>62</v>
      </c>
      <c r="I13" s="13" t="s">
        <v>86</v>
      </c>
    </row>
    <row r="14" spans="1:9" x14ac:dyDescent="0.4">
      <c r="A14" s="7" t="s">
        <v>12</v>
      </c>
      <c r="B14" s="12" t="s">
        <v>194</v>
      </c>
      <c r="C14" s="2" t="s">
        <v>94</v>
      </c>
      <c r="D14" s="13" t="s">
        <v>82</v>
      </c>
      <c r="E14" s="12"/>
      <c r="G14" s="2" t="s">
        <v>583</v>
      </c>
      <c r="H14" s="2" t="s">
        <v>27</v>
      </c>
      <c r="I14" s="13" t="s">
        <v>100</v>
      </c>
    </row>
    <row r="15" spans="1:9" x14ac:dyDescent="0.4">
      <c r="A15" s="7" t="s">
        <v>13</v>
      </c>
      <c r="B15" s="12" t="s">
        <v>195</v>
      </c>
      <c r="C15" s="2" t="s">
        <v>99</v>
      </c>
      <c r="D15" s="13" t="s">
        <v>82</v>
      </c>
      <c r="E15" s="12"/>
      <c r="G15" s="2" t="s">
        <v>246</v>
      </c>
      <c r="H15" s="2" t="s">
        <v>61</v>
      </c>
      <c r="I15" s="13" t="s">
        <v>86</v>
      </c>
    </row>
    <row r="16" spans="1:9" x14ac:dyDescent="0.4">
      <c r="A16" s="7" t="s">
        <v>14</v>
      </c>
      <c r="B16" s="12" t="s">
        <v>196</v>
      </c>
      <c r="C16" s="2" t="s">
        <v>105</v>
      </c>
      <c r="D16" s="13" t="s">
        <v>82</v>
      </c>
      <c r="E16" s="12">
        <v>11</v>
      </c>
      <c r="F16" s="2" t="s">
        <v>251</v>
      </c>
      <c r="G16" s="2" t="s">
        <v>545</v>
      </c>
      <c r="H16" s="2" t="s">
        <v>67</v>
      </c>
      <c r="I16" s="13" t="s">
        <v>88</v>
      </c>
    </row>
    <row r="17" spans="1:9" x14ac:dyDescent="0.4">
      <c r="A17" s="7" t="s">
        <v>15</v>
      </c>
      <c r="B17" s="12" t="s">
        <v>197</v>
      </c>
      <c r="C17" s="2" t="s">
        <v>96</v>
      </c>
      <c r="D17" s="13" t="s">
        <v>73</v>
      </c>
      <c r="E17" s="12"/>
      <c r="H17" s="2" t="s">
        <v>64</v>
      </c>
      <c r="I17" s="13" t="s">
        <v>86</v>
      </c>
    </row>
    <row r="18" spans="1:9" x14ac:dyDescent="0.4">
      <c r="A18" s="7" t="s">
        <v>16</v>
      </c>
      <c r="B18" s="12" t="s">
        <v>198</v>
      </c>
      <c r="C18" s="2" t="s">
        <v>96</v>
      </c>
      <c r="D18" s="13" t="s">
        <v>73</v>
      </c>
      <c r="E18" s="12"/>
      <c r="G18" s="2" t="s">
        <v>246</v>
      </c>
      <c r="H18" s="2" t="s">
        <v>61</v>
      </c>
      <c r="I18" s="13" t="s">
        <v>86</v>
      </c>
    </row>
    <row r="19" spans="1:9" x14ac:dyDescent="0.4">
      <c r="A19" s="7" t="s">
        <v>17</v>
      </c>
      <c r="B19" s="12" t="s">
        <v>294</v>
      </c>
      <c r="C19" s="2" t="s">
        <v>108</v>
      </c>
      <c r="D19" s="13" t="s">
        <v>79</v>
      </c>
      <c r="E19" s="12">
        <v>12</v>
      </c>
      <c r="F19" s="2" t="s">
        <v>252</v>
      </c>
      <c r="G19" s="2" t="s">
        <v>253</v>
      </c>
      <c r="H19" s="2" t="s">
        <v>61</v>
      </c>
      <c r="I19" s="13" t="s">
        <v>86</v>
      </c>
    </row>
    <row r="20" spans="1:9" x14ac:dyDescent="0.4">
      <c r="A20" s="7" t="s">
        <v>18</v>
      </c>
      <c r="B20" s="12" t="s">
        <v>199</v>
      </c>
      <c r="C20" s="2" t="s">
        <v>108</v>
      </c>
      <c r="D20" s="13" t="s">
        <v>0</v>
      </c>
      <c r="E20" s="12"/>
      <c r="G20" s="2" t="s">
        <v>254</v>
      </c>
      <c r="H20" s="2" t="s">
        <v>27</v>
      </c>
      <c r="I20" s="13" t="s">
        <v>100</v>
      </c>
    </row>
    <row r="21" spans="1:9" x14ac:dyDescent="0.4">
      <c r="A21" s="7" t="s">
        <v>19</v>
      </c>
      <c r="B21" s="12" t="s">
        <v>200</v>
      </c>
      <c r="C21" s="2" t="s">
        <v>108</v>
      </c>
      <c r="D21" s="13" t="s">
        <v>2</v>
      </c>
      <c r="E21" s="12">
        <v>13</v>
      </c>
      <c r="F21" s="2" t="s">
        <v>255</v>
      </c>
      <c r="H21" s="2" t="s">
        <v>61</v>
      </c>
      <c r="I21" s="13" t="s">
        <v>86</v>
      </c>
    </row>
    <row r="22" spans="1:9" x14ac:dyDescent="0.4">
      <c r="A22" s="7" t="s">
        <v>20</v>
      </c>
      <c r="B22" s="12" t="s">
        <v>201</v>
      </c>
      <c r="C22" s="2" t="s">
        <v>108</v>
      </c>
      <c r="D22" s="13" t="s">
        <v>4</v>
      </c>
      <c r="E22" s="12">
        <v>14</v>
      </c>
      <c r="F22" s="2" t="s">
        <v>256</v>
      </c>
      <c r="G22" s="2" t="s">
        <v>253</v>
      </c>
      <c r="H22" s="2" t="s">
        <v>62</v>
      </c>
      <c r="I22" s="13" t="s">
        <v>86</v>
      </c>
    </row>
    <row r="23" spans="1:9" x14ac:dyDescent="0.4">
      <c r="A23" s="7" t="s">
        <v>21</v>
      </c>
      <c r="B23" s="12" t="s">
        <v>202</v>
      </c>
      <c r="C23" s="2" t="s">
        <v>108</v>
      </c>
      <c r="D23" s="13" t="s">
        <v>6</v>
      </c>
      <c r="E23" s="12"/>
      <c r="G23" s="2" t="s">
        <v>254</v>
      </c>
      <c r="H23" s="2" t="s">
        <v>27</v>
      </c>
      <c r="I23" s="13" t="s">
        <v>100</v>
      </c>
    </row>
    <row r="24" spans="1:9" x14ac:dyDescent="0.4">
      <c r="A24" s="7" t="s">
        <v>22</v>
      </c>
      <c r="B24" s="12" t="s">
        <v>203</v>
      </c>
      <c r="C24" s="2" t="s">
        <v>108</v>
      </c>
      <c r="D24" s="13" t="s">
        <v>8</v>
      </c>
      <c r="E24" s="12">
        <v>15</v>
      </c>
      <c r="F24" s="2" t="s">
        <v>257</v>
      </c>
      <c r="G24" s="2" t="s">
        <v>258</v>
      </c>
      <c r="H24" s="2" t="s">
        <v>61</v>
      </c>
      <c r="I24" s="13" t="s">
        <v>86</v>
      </c>
    </row>
    <row r="25" spans="1:9" x14ac:dyDescent="0.4">
      <c r="A25" s="7" t="s">
        <v>23</v>
      </c>
      <c r="B25" s="12" t="s">
        <v>204</v>
      </c>
      <c r="C25" s="2" t="s">
        <v>108</v>
      </c>
      <c r="D25" s="13" t="s">
        <v>10</v>
      </c>
      <c r="E25" s="12"/>
      <c r="G25" s="2" t="s">
        <v>246</v>
      </c>
      <c r="H25" s="2" t="s">
        <v>62</v>
      </c>
      <c r="I25" s="13" t="s">
        <v>86</v>
      </c>
    </row>
    <row r="26" spans="1:9" x14ac:dyDescent="0.4">
      <c r="A26" s="7" t="s">
        <v>24</v>
      </c>
      <c r="B26" s="12" t="s">
        <v>205</v>
      </c>
      <c r="C26" s="2" t="s">
        <v>108</v>
      </c>
      <c r="D26" s="13" t="s">
        <v>12</v>
      </c>
      <c r="E26" s="12">
        <v>16</v>
      </c>
      <c r="F26" s="2" t="s">
        <v>259</v>
      </c>
      <c r="G26" s="2" t="s">
        <v>253</v>
      </c>
      <c r="H26" s="2" t="s">
        <v>61</v>
      </c>
      <c r="I26" s="13" t="s">
        <v>86</v>
      </c>
    </row>
    <row r="27" spans="1:9" x14ac:dyDescent="0.4">
      <c r="A27" s="7" t="s">
        <v>25</v>
      </c>
      <c r="B27" s="12" t="s">
        <v>206</v>
      </c>
      <c r="C27" s="2" t="s">
        <v>108</v>
      </c>
      <c r="D27" s="13" t="s">
        <v>15</v>
      </c>
      <c r="E27" s="12"/>
      <c r="G27" s="2" t="s">
        <v>254</v>
      </c>
      <c r="H27" s="2" t="s">
        <v>27</v>
      </c>
      <c r="I27" s="13" t="s">
        <v>100</v>
      </c>
    </row>
    <row r="28" spans="1:9" x14ac:dyDescent="0.4">
      <c r="A28" s="7" t="s">
        <v>26</v>
      </c>
      <c r="B28" s="12" t="s">
        <v>208</v>
      </c>
      <c r="C28" s="2" t="s">
        <v>108</v>
      </c>
      <c r="D28" s="13" t="s">
        <v>16</v>
      </c>
      <c r="E28" s="12">
        <v>17</v>
      </c>
      <c r="F28" s="2" t="s">
        <v>260</v>
      </c>
      <c r="G28" s="2" t="s">
        <v>253</v>
      </c>
      <c r="H28" s="2" t="s">
        <v>61</v>
      </c>
      <c r="I28" s="13" t="s">
        <v>86</v>
      </c>
    </row>
    <row r="29" spans="1:9" x14ac:dyDescent="0.4">
      <c r="A29" s="7" t="s">
        <v>27</v>
      </c>
      <c r="B29" s="12" t="s">
        <v>210</v>
      </c>
      <c r="C29" s="2" t="s">
        <v>108</v>
      </c>
      <c r="D29" s="13" t="s">
        <v>18</v>
      </c>
      <c r="E29" s="12"/>
      <c r="G29" s="2" t="s">
        <v>254</v>
      </c>
      <c r="H29" s="2" t="s">
        <v>27</v>
      </c>
      <c r="I29" s="13" t="s">
        <v>100</v>
      </c>
    </row>
    <row r="30" spans="1:9" x14ac:dyDescent="0.4">
      <c r="A30" s="7" t="s">
        <v>28</v>
      </c>
      <c r="B30" s="12" t="s">
        <v>212</v>
      </c>
      <c r="C30" s="2" t="s">
        <v>108</v>
      </c>
      <c r="D30" s="13" t="s">
        <v>20</v>
      </c>
      <c r="E30" s="12">
        <v>18</v>
      </c>
      <c r="F30" s="2" t="s">
        <v>261</v>
      </c>
      <c r="H30" s="2" t="s">
        <v>68</v>
      </c>
      <c r="I30" s="13" t="s">
        <v>89</v>
      </c>
    </row>
    <row r="31" spans="1:9" x14ac:dyDescent="0.4">
      <c r="A31" s="7" t="s">
        <v>29</v>
      </c>
      <c r="B31" s="12" t="s">
        <v>214</v>
      </c>
      <c r="C31" s="2" t="s">
        <v>108</v>
      </c>
      <c r="D31" s="13" t="s">
        <v>23</v>
      </c>
      <c r="E31" s="12">
        <v>19</v>
      </c>
      <c r="F31" s="2" t="s">
        <v>262</v>
      </c>
      <c r="H31" s="2" t="s">
        <v>69</v>
      </c>
      <c r="I31" s="13" t="s">
        <v>90</v>
      </c>
    </row>
    <row r="32" spans="1:9" x14ac:dyDescent="0.4">
      <c r="A32" s="7" t="s">
        <v>30</v>
      </c>
      <c r="B32" s="12" t="s">
        <v>215</v>
      </c>
      <c r="C32" s="2" t="s">
        <v>108</v>
      </c>
      <c r="D32" s="13" t="s">
        <v>25</v>
      </c>
      <c r="E32" s="12">
        <v>20</v>
      </c>
      <c r="F32" s="2" t="s">
        <v>263</v>
      </c>
      <c r="G32" s="2" t="s">
        <v>264</v>
      </c>
      <c r="H32" s="2" t="s">
        <v>33</v>
      </c>
      <c r="I32" s="13" t="s">
        <v>103</v>
      </c>
    </row>
    <row r="33" spans="1:9" x14ac:dyDescent="0.4">
      <c r="A33" s="7" t="s">
        <v>31</v>
      </c>
      <c r="B33" s="12" t="s">
        <v>293</v>
      </c>
      <c r="C33" s="2" t="s">
        <v>108</v>
      </c>
      <c r="D33" s="13" t="s">
        <v>28</v>
      </c>
      <c r="E33" s="12"/>
      <c r="G33" s="2" t="s">
        <v>265</v>
      </c>
      <c r="H33" s="2" t="s">
        <v>38</v>
      </c>
      <c r="I33" s="13" t="s">
        <v>103</v>
      </c>
    </row>
    <row r="34" spans="1:9" x14ac:dyDescent="0.4">
      <c r="A34" s="7" t="s">
        <v>32</v>
      </c>
      <c r="B34" s="12" t="s">
        <v>295</v>
      </c>
      <c r="C34" s="2" t="s">
        <v>93</v>
      </c>
      <c r="D34" s="13" t="s">
        <v>81</v>
      </c>
      <c r="E34" s="12"/>
      <c r="G34" s="2" t="s">
        <v>246</v>
      </c>
      <c r="H34" s="2" t="s">
        <v>67</v>
      </c>
      <c r="I34" s="13" t="s">
        <v>88</v>
      </c>
    </row>
    <row r="35" spans="1:9" x14ac:dyDescent="0.4">
      <c r="A35" s="7" t="s">
        <v>33</v>
      </c>
      <c r="B35" s="12" t="s">
        <v>217</v>
      </c>
      <c r="C35" s="2" t="s">
        <v>93</v>
      </c>
      <c r="D35" s="13" t="s">
        <v>81</v>
      </c>
      <c r="E35" s="12">
        <v>21</v>
      </c>
      <c r="F35" s="2" t="s">
        <v>266</v>
      </c>
      <c r="G35" s="2" t="s">
        <v>253</v>
      </c>
      <c r="H35" s="2" t="s">
        <v>71</v>
      </c>
      <c r="I35" s="13" t="s">
        <v>92</v>
      </c>
    </row>
    <row r="36" spans="1:9" x14ac:dyDescent="0.4">
      <c r="A36" s="7" t="s">
        <v>34</v>
      </c>
      <c r="B36" s="12" t="s">
        <v>218</v>
      </c>
      <c r="C36" s="2" t="s">
        <v>106</v>
      </c>
      <c r="D36" s="13" t="s">
        <v>39</v>
      </c>
      <c r="E36" s="12"/>
      <c r="G36" s="2" t="s">
        <v>254</v>
      </c>
      <c r="H36" s="2" t="s">
        <v>27</v>
      </c>
      <c r="I36" s="13" t="s">
        <v>100</v>
      </c>
    </row>
    <row r="37" spans="1:9" x14ac:dyDescent="0.4">
      <c r="A37" s="7" t="s">
        <v>35</v>
      </c>
      <c r="B37" s="12" t="s">
        <v>219</v>
      </c>
      <c r="C37" s="2" t="s">
        <v>106</v>
      </c>
      <c r="D37" s="13" t="s">
        <v>34</v>
      </c>
      <c r="E37" s="12">
        <v>22</v>
      </c>
      <c r="F37" s="2" t="s">
        <v>267</v>
      </c>
      <c r="G37" s="2" t="s">
        <v>268</v>
      </c>
      <c r="H37" s="2" t="s">
        <v>49</v>
      </c>
      <c r="I37" s="13" t="s">
        <v>110</v>
      </c>
    </row>
    <row r="38" spans="1:9" x14ac:dyDescent="0.4">
      <c r="A38" s="7" t="s">
        <v>36</v>
      </c>
      <c r="B38" s="12" t="s">
        <v>220</v>
      </c>
      <c r="C38" s="2" t="s">
        <v>106</v>
      </c>
      <c r="D38" s="13" t="s">
        <v>40</v>
      </c>
      <c r="E38" s="12"/>
      <c r="G38" s="2" t="s">
        <v>269</v>
      </c>
      <c r="H38" s="2" t="s">
        <v>65</v>
      </c>
      <c r="I38" s="13" t="s">
        <v>87</v>
      </c>
    </row>
    <row r="39" spans="1:9" x14ac:dyDescent="0.4">
      <c r="A39" s="7" t="s">
        <v>37</v>
      </c>
      <c r="B39" s="12" t="s">
        <v>221</v>
      </c>
      <c r="C39" s="2" t="s">
        <v>106</v>
      </c>
      <c r="D39" s="13" t="s">
        <v>35</v>
      </c>
      <c r="E39" s="12"/>
      <c r="G39" s="2" t="s">
        <v>246</v>
      </c>
      <c r="H39" s="2" t="s">
        <v>67</v>
      </c>
      <c r="I39" s="13" t="s">
        <v>88</v>
      </c>
    </row>
    <row r="40" spans="1:9" x14ac:dyDescent="0.4">
      <c r="A40" s="7" t="s">
        <v>38</v>
      </c>
      <c r="B40" s="12" t="s">
        <v>296</v>
      </c>
      <c r="C40" s="2" t="s">
        <v>93</v>
      </c>
      <c r="D40" s="13" t="s">
        <v>81</v>
      </c>
      <c r="E40" s="12">
        <v>23</v>
      </c>
      <c r="F40" s="2" t="s">
        <v>270</v>
      </c>
      <c r="H40" s="2" t="s">
        <v>30</v>
      </c>
      <c r="I40" s="13" t="s">
        <v>102</v>
      </c>
    </row>
    <row r="41" spans="1:9" x14ac:dyDescent="0.4">
      <c r="A41" s="7" t="s">
        <v>39</v>
      </c>
      <c r="B41" s="14" t="s">
        <v>297</v>
      </c>
      <c r="C41" s="15" t="s">
        <v>298</v>
      </c>
      <c r="D41" s="16"/>
      <c r="E41" s="12">
        <v>24</v>
      </c>
      <c r="F41" s="2" t="s">
        <v>271</v>
      </c>
      <c r="G41" s="2" t="s">
        <v>272</v>
      </c>
      <c r="H41" s="2" t="s">
        <v>39</v>
      </c>
      <c r="I41" s="13" t="s">
        <v>101</v>
      </c>
    </row>
    <row r="42" spans="1:9" x14ac:dyDescent="0.4">
      <c r="A42" s="7" t="s">
        <v>40</v>
      </c>
      <c r="B42" s="12" t="s">
        <v>224</v>
      </c>
      <c r="C42" s="2" t="s">
        <v>96</v>
      </c>
      <c r="D42" s="13" t="s">
        <v>73</v>
      </c>
      <c r="E42" s="12"/>
      <c r="G42" s="2" t="s">
        <v>273</v>
      </c>
      <c r="H42" s="2" t="s">
        <v>34</v>
      </c>
      <c r="I42" s="13" t="s">
        <v>101</v>
      </c>
    </row>
    <row r="43" spans="1:9" x14ac:dyDescent="0.4">
      <c r="A43" s="7" t="s">
        <v>41</v>
      </c>
      <c r="B43" s="12" t="s">
        <v>319</v>
      </c>
      <c r="C43" s="2" t="s">
        <v>96</v>
      </c>
      <c r="D43" s="13" t="s">
        <v>73</v>
      </c>
      <c r="E43" s="12"/>
      <c r="G43" s="2" t="s">
        <v>274</v>
      </c>
      <c r="H43" s="2" t="s">
        <v>40</v>
      </c>
      <c r="I43" s="13" t="s">
        <v>101</v>
      </c>
    </row>
    <row r="44" spans="1:9" x14ac:dyDescent="0.4">
      <c r="A44" s="7" t="s">
        <v>42</v>
      </c>
      <c r="B44" s="12" t="s">
        <v>300</v>
      </c>
      <c r="C44" s="2" t="s">
        <v>107</v>
      </c>
      <c r="D44" s="13" t="s">
        <v>317</v>
      </c>
      <c r="E44" s="12"/>
      <c r="G44" s="2" t="s">
        <v>275</v>
      </c>
      <c r="H44" s="2" t="s">
        <v>35</v>
      </c>
      <c r="I44" s="13" t="s">
        <v>101</v>
      </c>
    </row>
    <row r="45" spans="1:9" x14ac:dyDescent="0.4">
      <c r="A45" s="7" t="s">
        <v>43</v>
      </c>
      <c r="B45" s="12" t="s">
        <v>299</v>
      </c>
      <c r="C45" s="2" t="s">
        <v>107</v>
      </c>
      <c r="D45" s="13" t="s">
        <v>318</v>
      </c>
      <c r="E45" s="12">
        <v>25</v>
      </c>
      <c r="F45" s="2" t="s">
        <v>216</v>
      </c>
      <c r="H45" s="2" t="s">
        <v>71</v>
      </c>
      <c r="I45" s="13" t="s">
        <v>92</v>
      </c>
    </row>
    <row r="46" spans="1:9" x14ac:dyDescent="0.4">
      <c r="A46" s="7" t="s">
        <v>44</v>
      </c>
      <c r="B46" s="12" t="s">
        <v>324</v>
      </c>
      <c r="C46" s="2" t="s">
        <v>96</v>
      </c>
      <c r="D46" s="13" t="s">
        <v>73</v>
      </c>
      <c r="E46" s="12">
        <v>26</v>
      </c>
      <c r="F46" s="2" t="s">
        <v>276</v>
      </c>
      <c r="H46" s="2" t="s">
        <v>71</v>
      </c>
      <c r="I46" s="13" t="s">
        <v>92</v>
      </c>
    </row>
    <row r="47" spans="1:9" x14ac:dyDescent="0.4">
      <c r="A47" s="7" t="s">
        <v>45</v>
      </c>
      <c r="B47" s="12" t="s">
        <v>320</v>
      </c>
      <c r="C47" s="2" t="s">
        <v>96</v>
      </c>
      <c r="D47" s="13" t="s">
        <v>73</v>
      </c>
      <c r="E47" s="18">
        <v>27</v>
      </c>
      <c r="F47" s="19" t="s">
        <v>277</v>
      </c>
      <c r="G47" s="19"/>
      <c r="H47" s="19" t="s">
        <v>70</v>
      </c>
      <c r="I47" s="20" t="s">
        <v>91</v>
      </c>
    </row>
    <row r="48" spans="1:9" x14ac:dyDescent="0.4">
      <c r="A48" s="7" t="s">
        <v>46</v>
      </c>
      <c r="B48" s="12" t="s">
        <v>321</v>
      </c>
      <c r="C48" s="2" t="s">
        <v>96</v>
      </c>
      <c r="D48" s="13" t="s">
        <v>73</v>
      </c>
    </row>
    <row r="49" spans="1:4" x14ac:dyDescent="0.4">
      <c r="A49" s="7" t="s">
        <v>47</v>
      </c>
      <c r="B49" s="12" t="s">
        <v>322</v>
      </c>
      <c r="C49" s="2" t="s">
        <v>93</v>
      </c>
      <c r="D49" s="13" t="s">
        <v>81</v>
      </c>
    </row>
    <row r="50" spans="1:4" x14ac:dyDescent="0.4">
      <c r="A50" s="7" t="s">
        <v>48</v>
      </c>
      <c r="B50" s="12" t="s">
        <v>323</v>
      </c>
      <c r="C50" s="2" t="s">
        <v>113</v>
      </c>
      <c r="D50" s="13" t="s">
        <v>48</v>
      </c>
    </row>
    <row r="51" spans="1:4" x14ac:dyDescent="0.4">
      <c r="A51" s="7" t="s">
        <v>49</v>
      </c>
      <c r="B51" s="12" t="s">
        <v>225</v>
      </c>
      <c r="C51" s="2" t="s">
        <v>96</v>
      </c>
      <c r="D51" s="13" t="s">
        <v>73</v>
      </c>
    </row>
    <row r="52" spans="1:4" x14ac:dyDescent="0.4">
      <c r="A52" s="7" t="s">
        <v>50</v>
      </c>
      <c r="B52" s="12" t="s">
        <v>301</v>
      </c>
      <c r="C52" s="2" t="s">
        <v>112</v>
      </c>
      <c r="D52" s="13" t="s">
        <v>44</v>
      </c>
    </row>
    <row r="53" spans="1:4" x14ac:dyDescent="0.4">
      <c r="A53" s="7" t="s">
        <v>51</v>
      </c>
      <c r="B53" s="12"/>
      <c r="D53" s="13"/>
    </row>
    <row r="54" spans="1:4" x14ac:dyDescent="0.4">
      <c r="A54" s="7" t="s">
        <v>52</v>
      </c>
      <c r="B54" s="17" t="s">
        <v>302</v>
      </c>
      <c r="D54" s="13"/>
    </row>
    <row r="55" spans="1:4" x14ac:dyDescent="0.4">
      <c r="A55" s="7" t="s">
        <v>53</v>
      </c>
      <c r="B55" s="12" t="s">
        <v>303</v>
      </c>
      <c r="C55" s="2" t="s">
        <v>93</v>
      </c>
      <c r="D55" s="13" t="s">
        <v>81</v>
      </c>
    </row>
    <row r="56" spans="1:4" x14ac:dyDescent="0.4">
      <c r="A56" s="7" t="s">
        <v>54</v>
      </c>
      <c r="B56" s="12" t="s">
        <v>304</v>
      </c>
      <c r="C56" s="2" t="s">
        <v>93</v>
      </c>
      <c r="D56" s="13" t="s">
        <v>81</v>
      </c>
    </row>
    <row r="57" spans="1:4" x14ac:dyDescent="0.4">
      <c r="A57" s="7" t="s">
        <v>55</v>
      </c>
      <c r="B57" s="12" t="s">
        <v>305</v>
      </c>
      <c r="C57" s="2" t="s">
        <v>93</v>
      </c>
      <c r="D57" s="13" t="s">
        <v>81</v>
      </c>
    </row>
    <row r="58" spans="1:4" x14ac:dyDescent="0.4">
      <c r="A58" s="7" t="s">
        <v>56</v>
      </c>
      <c r="B58" s="12" t="s">
        <v>306</v>
      </c>
      <c r="C58" s="2" t="s">
        <v>93</v>
      </c>
      <c r="D58" s="13" t="s">
        <v>81</v>
      </c>
    </row>
    <row r="59" spans="1:4" x14ac:dyDescent="0.4">
      <c r="A59" s="7" t="s">
        <v>57</v>
      </c>
      <c r="B59" s="12" t="s">
        <v>307</v>
      </c>
      <c r="C59" s="2" t="s">
        <v>93</v>
      </c>
      <c r="D59" s="13" t="s">
        <v>81</v>
      </c>
    </row>
    <row r="60" spans="1:4" x14ac:dyDescent="0.4">
      <c r="A60" s="7" t="s">
        <v>58</v>
      </c>
      <c r="B60" s="12" t="s">
        <v>308</v>
      </c>
      <c r="C60" s="2" t="s">
        <v>93</v>
      </c>
      <c r="D60" s="13" t="s">
        <v>81</v>
      </c>
    </row>
    <row r="61" spans="1:4" x14ac:dyDescent="0.4">
      <c r="A61" s="7" t="s">
        <v>59</v>
      </c>
      <c r="B61" s="12" t="s">
        <v>309</v>
      </c>
      <c r="C61" s="2" t="s">
        <v>93</v>
      </c>
      <c r="D61" s="13" t="s">
        <v>81</v>
      </c>
    </row>
    <row r="62" spans="1:4" x14ac:dyDescent="0.4">
      <c r="A62" s="7" t="s">
        <v>60</v>
      </c>
      <c r="B62" s="12" t="s">
        <v>310</v>
      </c>
      <c r="C62" s="2" t="s">
        <v>93</v>
      </c>
      <c r="D62" s="13" t="s">
        <v>81</v>
      </c>
    </row>
    <row r="63" spans="1:4" x14ac:dyDescent="0.4">
      <c r="A63" s="7" t="s">
        <v>61</v>
      </c>
      <c r="B63" s="12" t="s">
        <v>311</v>
      </c>
      <c r="C63" s="2" t="s">
        <v>96</v>
      </c>
      <c r="D63" s="13" t="s">
        <v>73</v>
      </c>
    </row>
    <row r="64" spans="1:4" x14ac:dyDescent="0.4">
      <c r="A64" s="7" t="s">
        <v>62</v>
      </c>
      <c r="B64" s="12" t="s">
        <v>312</v>
      </c>
      <c r="C64" s="2" t="s">
        <v>96</v>
      </c>
      <c r="D64" s="13" t="s">
        <v>73</v>
      </c>
    </row>
    <row r="65" spans="1:4" x14ac:dyDescent="0.4">
      <c r="A65" s="7" t="s">
        <v>63</v>
      </c>
      <c r="B65" s="12" t="s">
        <v>313</v>
      </c>
      <c r="C65" s="2" t="s">
        <v>96</v>
      </c>
      <c r="D65" s="13" t="s">
        <v>73</v>
      </c>
    </row>
    <row r="66" spans="1:4" x14ac:dyDescent="0.4">
      <c r="A66" s="7" t="s">
        <v>64</v>
      </c>
      <c r="B66" s="12" t="s">
        <v>314</v>
      </c>
      <c r="C66" s="2" t="s">
        <v>96</v>
      </c>
      <c r="D66" s="13" t="s">
        <v>73</v>
      </c>
    </row>
    <row r="67" spans="1:4" x14ac:dyDescent="0.4">
      <c r="A67" s="7" t="s">
        <v>65</v>
      </c>
      <c r="B67" s="18" t="s">
        <v>315</v>
      </c>
      <c r="C67" s="19" t="s">
        <v>96</v>
      </c>
      <c r="D67" s="20" t="s">
        <v>73</v>
      </c>
    </row>
    <row r="68" spans="1:4" x14ac:dyDescent="0.4">
      <c r="A68" s="7" t="s">
        <v>66</v>
      </c>
    </row>
    <row r="69" spans="1:4" x14ac:dyDescent="0.4">
      <c r="A69" s="7" t="s">
        <v>67</v>
      </c>
    </row>
    <row r="70" spans="1:4" x14ac:dyDescent="0.4">
      <c r="A70" s="7" t="s">
        <v>68</v>
      </c>
    </row>
    <row r="71" spans="1:4" x14ac:dyDescent="0.4">
      <c r="A71" s="7" t="s">
        <v>69</v>
      </c>
    </row>
    <row r="72" spans="1:4" x14ac:dyDescent="0.4">
      <c r="A72" s="7" t="s">
        <v>70</v>
      </c>
    </row>
    <row r="73" spans="1:4" x14ac:dyDescent="0.4">
      <c r="A73" s="7" t="s">
        <v>71</v>
      </c>
    </row>
    <row r="74" spans="1:4" x14ac:dyDescent="0.4">
      <c r="A74" s="7" t="s">
        <v>72</v>
      </c>
    </row>
    <row r="75" spans="1:4" x14ac:dyDescent="0.4">
      <c r="A75" s="7" t="s">
        <v>73</v>
      </c>
    </row>
    <row r="76" spans="1:4" x14ac:dyDescent="0.4">
      <c r="A76" s="7" t="s">
        <v>74</v>
      </c>
    </row>
    <row r="77" spans="1:4" x14ac:dyDescent="0.4">
      <c r="A77" s="7" t="s">
        <v>75</v>
      </c>
    </row>
    <row r="78" spans="1:4" x14ac:dyDescent="0.4">
      <c r="A78" s="7" t="s">
        <v>76</v>
      </c>
    </row>
    <row r="79" spans="1:4" x14ac:dyDescent="0.4">
      <c r="A79" s="7" t="s">
        <v>77</v>
      </c>
    </row>
    <row r="80" spans="1:4" x14ac:dyDescent="0.4">
      <c r="A80" s="7" t="s">
        <v>78</v>
      </c>
    </row>
    <row r="81" spans="1:1" x14ac:dyDescent="0.4">
      <c r="A81" s="7" t="s">
        <v>79</v>
      </c>
    </row>
    <row r="82" spans="1:1" x14ac:dyDescent="0.4">
      <c r="A82" s="7" t="s">
        <v>80</v>
      </c>
    </row>
    <row r="83" spans="1:1" x14ac:dyDescent="0.4">
      <c r="A83" s="7" t="s">
        <v>81</v>
      </c>
    </row>
    <row r="84" spans="1:1" x14ac:dyDescent="0.4">
      <c r="A84" s="7" t="s">
        <v>82</v>
      </c>
    </row>
    <row r="85" spans="1:1" x14ac:dyDescent="0.4">
      <c r="A85" s="7" t="s">
        <v>83</v>
      </c>
    </row>
    <row r="86" spans="1:1" x14ac:dyDescent="0.4">
      <c r="A86" s="7" t="s">
        <v>84</v>
      </c>
    </row>
    <row r="87" spans="1:1" x14ac:dyDescent="0.4">
      <c r="A87" s="7" t="s">
        <v>540</v>
      </c>
    </row>
    <row r="88" spans="1:1" x14ac:dyDescent="0.4">
      <c r="A88" s="7" t="s">
        <v>623</v>
      </c>
    </row>
    <row r="89" spans="1:1" x14ac:dyDescent="0.4">
      <c r="A89" s="7" t="s">
        <v>85</v>
      </c>
    </row>
    <row r="90" spans="1:1" x14ac:dyDescent="0.4">
      <c r="A90" s="7" t="s">
        <v>86</v>
      </c>
    </row>
    <row r="91" spans="1:1" x14ac:dyDescent="0.4">
      <c r="A91" s="7" t="s">
        <v>87</v>
      </c>
    </row>
    <row r="92" spans="1:1" x14ac:dyDescent="0.4">
      <c r="A92" s="7" t="s">
        <v>88</v>
      </c>
    </row>
    <row r="93" spans="1:1" x14ac:dyDescent="0.4">
      <c r="A93" s="7" t="s">
        <v>89</v>
      </c>
    </row>
    <row r="94" spans="1:1" x14ac:dyDescent="0.4">
      <c r="A94" s="7" t="s">
        <v>90</v>
      </c>
    </row>
    <row r="95" spans="1:1" x14ac:dyDescent="0.4">
      <c r="A95" s="7" t="s">
        <v>91</v>
      </c>
    </row>
    <row r="96" spans="1:1" x14ac:dyDescent="0.4">
      <c r="A96" s="7" t="s">
        <v>92</v>
      </c>
    </row>
    <row r="97" spans="1:1" x14ac:dyDescent="0.4">
      <c r="A97" s="7" t="s">
        <v>93</v>
      </c>
    </row>
    <row r="98" spans="1:1" x14ac:dyDescent="0.4">
      <c r="A98" s="7" t="s">
        <v>94</v>
      </c>
    </row>
    <row r="99" spans="1:1" x14ac:dyDescent="0.4">
      <c r="A99" s="7" t="s">
        <v>95</v>
      </c>
    </row>
    <row r="100" spans="1:1" x14ac:dyDescent="0.4">
      <c r="A100" s="7" t="s">
        <v>96</v>
      </c>
    </row>
    <row r="101" spans="1:1" x14ac:dyDescent="0.4">
      <c r="A101" s="7" t="s">
        <v>97</v>
      </c>
    </row>
    <row r="102" spans="1:1" x14ac:dyDescent="0.4">
      <c r="A102" s="7" t="s">
        <v>98</v>
      </c>
    </row>
    <row r="103" spans="1:1" x14ac:dyDescent="0.4">
      <c r="A103" s="7" t="s">
        <v>99</v>
      </c>
    </row>
    <row r="104" spans="1:1" x14ac:dyDescent="0.4">
      <c r="A104" s="7" t="s">
        <v>100</v>
      </c>
    </row>
    <row r="105" spans="1:1" x14ac:dyDescent="0.4">
      <c r="A105" s="7" t="s">
        <v>101</v>
      </c>
    </row>
    <row r="106" spans="1:1" x14ac:dyDescent="0.4">
      <c r="A106" s="7" t="s">
        <v>102</v>
      </c>
    </row>
    <row r="107" spans="1:1" x14ac:dyDescent="0.4">
      <c r="A107" s="7" t="s">
        <v>103</v>
      </c>
    </row>
    <row r="108" spans="1:1" x14ac:dyDescent="0.4">
      <c r="A108" s="7" t="s">
        <v>104</v>
      </c>
    </row>
    <row r="109" spans="1:1" x14ac:dyDescent="0.4">
      <c r="A109" s="7" t="s">
        <v>105</v>
      </c>
    </row>
    <row r="110" spans="1:1" x14ac:dyDescent="0.4">
      <c r="A110" s="7" t="s">
        <v>106</v>
      </c>
    </row>
    <row r="111" spans="1:1" x14ac:dyDescent="0.4">
      <c r="A111" s="7" t="s">
        <v>107</v>
      </c>
    </row>
    <row r="112" spans="1:1" x14ac:dyDescent="0.4">
      <c r="A112" s="7" t="s">
        <v>108</v>
      </c>
    </row>
    <row r="113" spans="1:1" x14ac:dyDescent="0.4">
      <c r="A113" s="7" t="s">
        <v>109</v>
      </c>
    </row>
    <row r="114" spans="1:1" x14ac:dyDescent="0.4">
      <c r="A114" s="7" t="s">
        <v>110</v>
      </c>
    </row>
    <row r="115" spans="1:1" x14ac:dyDescent="0.4">
      <c r="A115" s="7" t="s">
        <v>111</v>
      </c>
    </row>
    <row r="116" spans="1:1" x14ac:dyDescent="0.4">
      <c r="A116" s="7" t="s">
        <v>112</v>
      </c>
    </row>
    <row r="117" spans="1:1" x14ac:dyDescent="0.4">
      <c r="A117" s="7" t="s">
        <v>113</v>
      </c>
    </row>
    <row r="118" spans="1:1" x14ac:dyDescent="0.4">
      <c r="A118" s="8" t="s">
        <v>114</v>
      </c>
    </row>
  </sheetData>
  <phoneticPr fontId="1"/>
  <dataValidations count="1">
    <dataValidation type="list" allowBlank="1" showInputMessage="1" showErrorMessage="1" sqref="C2:D40 C55:D67 C42:D52 H2:I47" xr:uid="{7DC0CE34-EF3E-4FD9-97FC-0AE12513B7C3}">
      <formula1>勘定科目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開始BS</vt:lpstr>
      <vt:lpstr>チェックシート</vt:lpstr>
      <vt:lpstr>歳入</vt:lpstr>
      <vt:lpstr>歳出</vt:lpstr>
      <vt:lpstr>資産形成分</vt:lpstr>
      <vt:lpstr>NW内訳</vt:lpstr>
      <vt:lpstr>決算整理</vt:lpstr>
      <vt:lpstr>相殺仕訳</vt:lpstr>
      <vt:lpstr>精算表</vt:lpstr>
      <vt:lpstr>貸借対照表(BS)</vt:lpstr>
      <vt:lpstr>行政コスト計算書(PL)</vt:lpstr>
      <vt:lpstr>純資産変動計算書(NW)</vt:lpstr>
      <vt:lpstr>資金収支計算書(CF)</vt:lpstr>
      <vt:lpstr>科目マスタ</vt:lpstr>
      <vt:lpstr>精算表!Print_Area</vt:lpstr>
      <vt:lpstr>勘定科目</vt:lpstr>
      <vt:lpstr>歳入_予算科目</vt:lpstr>
      <vt:lpstr>集計表_勘定科目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道雄 今井</cp:lastModifiedBy>
  <cp:lastPrinted>2023-01-31T04:15:23Z</cp:lastPrinted>
  <dcterms:created xsi:type="dcterms:W3CDTF">2023-01-22T06:13:10Z</dcterms:created>
  <dcterms:modified xsi:type="dcterms:W3CDTF">2025-03-20T13:56:38Z</dcterms:modified>
</cp:coreProperties>
</file>